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065" activeTab="5"/>
  </bookViews>
  <sheets>
    <sheet name="O&amp;M -KHEP" sheetId="13" r:id="rId1"/>
    <sheet name="O&amp;M - DHEP" sheetId="14" r:id="rId2"/>
    <sheet name="O&amp;M - RHEP" sheetId="15" r:id="rId3"/>
    <sheet name="O&amp;M - AGBPP" sheetId="16" r:id="rId4"/>
    <sheet name="O&amp;M - AGTPP" sheetId="17" r:id="rId5"/>
    <sheet name="O&amp;M - TGBPP" sheetId="18" r:id="rId6"/>
    <sheet name="O&amp;M - Solar" sheetId="19" r:id="rId7"/>
    <sheet name="O&amp;M - corp off exp" sheetId="12" r:id="rId8"/>
    <sheet name="Cap Spares - AGTP" sheetId="24" r:id="rId9"/>
    <sheet name="Cap Spares - AGBP" sheetId="23" r:id="rId10"/>
    <sheet name="Cap Spares - TGBP" sheetId="22" r:id="rId11"/>
    <sheet name="Reconciliation" sheetId="21" r:id="rId12"/>
  </sheets>
  <definedNames>
    <definedName name="_xlnm.Print_Area" localSheetId="6">'O&amp;M - Solar'!$A$2:$G$53</definedName>
  </definedNames>
  <calcPr calcId="162913" iterate="1"/>
</workbook>
</file>

<file path=xl/calcChain.xml><?xml version="1.0" encoding="utf-8"?>
<calcChain xmlns="http://schemas.openxmlformats.org/spreadsheetml/2006/main">
  <c r="G24" i="22" l="1"/>
  <c r="G16" i="22"/>
  <c r="F75" i="24"/>
  <c r="F97" i="24" s="1"/>
  <c r="F66" i="24"/>
  <c r="F45" i="24"/>
  <c r="F67" i="24" s="1"/>
  <c r="E95" i="24"/>
  <c r="E94" i="24"/>
  <c r="E93" i="24"/>
  <c r="E92" i="24"/>
  <c r="E89" i="24"/>
  <c r="E72" i="24"/>
  <c r="E71" i="24"/>
  <c r="E70" i="24"/>
  <c r="E69" i="24"/>
  <c r="E53" i="24"/>
  <c r="E52" i="24"/>
  <c r="E51" i="24"/>
  <c r="E50" i="24"/>
  <c r="E44" i="24"/>
  <c r="E43" i="24"/>
  <c r="D80" i="24"/>
  <c r="D97" i="24" s="1"/>
  <c r="D59" i="24"/>
  <c r="C96" i="24"/>
  <c r="C95" i="24"/>
  <c r="C94" i="24"/>
  <c r="C93" i="24"/>
  <c r="C92" i="24"/>
  <c r="C89" i="24"/>
  <c r="C80" i="24"/>
  <c r="C79" i="24"/>
  <c r="C59" i="24"/>
  <c r="C48" i="24"/>
  <c r="C108" i="24" s="1"/>
  <c r="D18" i="24" s="1"/>
  <c r="D108" i="24" s="1"/>
  <c r="E18" i="24" s="1"/>
  <c r="E108" i="24" s="1"/>
  <c r="F18" i="24" s="1"/>
  <c r="F108" i="24" s="1"/>
  <c r="G18" i="24" s="1"/>
  <c r="G108" i="24" s="1"/>
  <c r="C47" i="24"/>
  <c r="C46" i="24"/>
  <c r="C42" i="24"/>
  <c r="C102" i="24" s="1"/>
  <c r="D12" i="24" s="1"/>
  <c r="C41" i="24"/>
  <c r="C101" i="24" s="1"/>
  <c r="D11" i="24" s="1"/>
  <c r="D101" i="24" s="1"/>
  <c r="E11" i="24" s="1"/>
  <c r="E101" i="24" s="1"/>
  <c r="C40" i="24"/>
  <c r="D40" i="24" s="1"/>
  <c r="C39" i="24"/>
  <c r="C36" i="24"/>
  <c r="C126" i="24" s="1"/>
  <c r="D36" i="24" s="1"/>
  <c r="D126" i="24" s="1"/>
  <c r="E36" i="24" s="1"/>
  <c r="E126" i="24" s="1"/>
  <c r="F36" i="24" s="1"/>
  <c r="C35" i="24"/>
  <c r="C125" i="24" s="1"/>
  <c r="D35" i="24" s="1"/>
  <c r="D125" i="24" s="1"/>
  <c r="E35" i="24" s="1"/>
  <c r="E125" i="24" s="1"/>
  <c r="F35" i="24" s="1"/>
  <c r="F125" i="24" s="1"/>
  <c r="G35" i="24" s="1"/>
  <c r="G125" i="24" s="1"/>
  <c r="C34" i="24"/>
  <c r="C124" i="24" s="1"/>
  <c r="D34" i="24" s="1"/>
  <c r="D124" i="24" s="1"/>
  <c r="E34" i="24" s="1"/>
  <c r="C33" i="24"/>
  <c r="C32" i="24"/>
  <c r="C122" i="24" s="1"/>
  <c r="D32" i="24" s="1"/>
  <c r="D122" i="24" s="1"/>
  <c r="E32" i="24" s="1"/>
  <c r="C31" i="24"/>
  <c r="C121" i="24" s="1"/>
  <c r="D31" i="24" s="1"/>
  <c r="D121" i="24" s="1"/>
  <c r="E31" i="24" s="1"/>
  <c r="E121" i="24" s="1"/>
  <c r="F31" i="24" s="1"/>
  <c r="F121" i="24" s="1"/>
  <c r="G31" i="24" s="1"/>
  <c r="G121" i="24" s="1"/>
  <c r="C30" i="24"/>
  <c r="C120" i="24" s="1"/>
  <c r="D30" i="24" s="1"/>
  <c r="D120" i="24" s="1"/>
  <c r="E30" i="24" s="1"/>
  <c r="E120" i="24" s="1"/>
  <c r="F30" i="24" s="1"/>
  <c r="F120" i="24" s="1"/>
  <c r="G30" i="24" s="1"/>
  <c r="G120" i="24" s="1"/>
  <c r="C29" i="24"/>
  <c r="C28" i="24"/>
  <c r="C27" i="24"/>
  <c r="C26" i="24"/>
  <c r="C116" i="24" s="1"/>
  <c r="D26" i="24" s="1"/>
  <c r="D116" i="24" s="1"/>
  <c r="E26" i="24" s="1"/>
  <c r="E116" i="24" s="1"/>
  <c r="F26" i="24" s="1"/>
  <c r="F116" i="24" s="1"/>
  <c r="G26" i="24" s="1"/>
  <c r="G116" i="24" s="1"/>
  <c r="C25" i="24"/>
  <c r="C115" i="24" s="1"/>
  <c r="D25" i="24" s="1"/>
  <c r="D115" i="24" s="1"/>
  <c r="E25" i="24" s="1"/>
  <c r="E115" i="24" s="1"/>
  <c r="F25" i="24" s="1"/>
  <c r="F115" i="24" s="1"/>
  <c r="G25" i="24" s="1"/>
  <c r="G115" i="24" s="1"/>
  <c r="C24" i="24"/>
  <c r="C114" i="24" s="1"/>
  <c r="D24" i="24" s="1"/>
  <c r="D114" i="24" s="1"/>
  <c r="E24" i="24" s="1"/>
  <c r="E114" i="24" s="1"/>
  <c r="F24" i="24" s="1"/>
  <c r="F114" i="24" s="1"/>
  <c r="G24" i="24" s="1"/>
  <c r="G114" i="24" s="1"/>
  <c r="C20" i="24"/>
  <c r="C110" i="24" s="1"/>
  <c r="D20" i="24" s="1"/>
  <c r="C19" i="24"/>
  <c r="C109" i="24" s="1"/>
  <c r="D19" i="24" s="1"/>
  <c r="D109" i="24" s="1"/>
  <c r="E19" i="24" s="1"/>
  <c r="E109" i="24" s="1"/>
  <c r="F19" i="24" s="1"/>
  <c r="F109" i="24" s="1"/>
  <c r="G19" i="24" s="1"/>
  <c r="G109" i="24" s="1"/>
  <c r="C17" i="24"/>
  <c r="C16" i="24"/>
  <c r="C106" i="24" s="1"/>
  <c r="C10" i="24"/>
  <c r="G81" i="23"/>
  <c r="F81" i="23"/>
  <c r="C81" i="23"/>
  <c r="C123" i="24"/>
  <c r="C118" i="24"/>
  <c r="D28" i="24" s="1"/>
  <c r="D118" i="24" s="1"/>
  <c r="E28" i="24" s="1"/>
  <c r="E118" i="24" s="1"/>
  <c r="F28" i="24" s="1"/>
  <c r="F118" i="24" s="1"/>
  <c r="G28" i="24" s="1"/>
  <c r="G118" i="24" s="1"/>
  <c r="C117" i="24"/>
  <c r="D27" i="24" s="1"/>
  <c r="D117" i="24" s="1"/>
  <c r="E27" i="24" s="1"/>
  <c r="E117" i="24" s="1"/>
  <c r="F27" i="24" s="1"/>
  <c r="F117" i="24" s="1"/>
  <c r="G27" i="24" s="1"/>
  <c r="G117" i="24" s="1"/>
  <c r="C113" i="24"/>
  <c r="D23" i="24" s="1"/>
  <c r="D113" i="24" s="1"/>
  <c r="E23" i="24" s="1"/>
  <c r="C112" i="24"/>
  <c r="C111" i="24"/>
  <c r="D21" i="24" s="1"/>
  <c r="D111" i="24" s="1"/>
  <c r="E21" i="24" s="1"/>
  <c r="C105" i="24"/>
  <c r="D15" i="24" s="1"/>
  <c r="D105" i="24" s="1"/>
  <c r="E15" i="24" s="1"/>
  <c r="E105" i="24" s="1"/>
  <c r="F15" i="24" s="1"/>
  <c r="C104" i="24"/>
  <c r="D14" i="24" s="1"/>
  <c r="D104" i="24" s="1"/>
  <c r="E14" i="24" s="1"/>
  <c r="C103" i="24"/>
  <c r="D13" i="24" s="1"/>
  <c r="D103" i="24" s="1"/>
  <c r="E13" i="24" s="1"/>
  <c r="C99" i="24"/>
  <c r="D9" i="24" s="1"/>
  <c r="G97" i="24"/>
  <c r="G67" i="24"/>
  <c r="D33" i="24"/>
  <c r="D123" i="24" s="1"/>
  <c r="E33" i="24" s="1"/>
  <c r="E123" i="24" s="1"/>
  <c r="F33" i="24" s="1"/>
  <c r="F123" i="24" s="1"/>
  <c r="G33" i="24" s="1"/>
  <c r="G123" i="24" s="1"/>
  <c r="D22" i="24"/>
  <c r="D112" i="24" s="1"/>
  <c r="E22" i="24" s="1"/>
  <c r="C119" i="24" l="1"/>
  <c r="D29" i="24" s="1"/>
  <c r="D119" i="24" s="1"/>
  <c r="E29" i="24" s="1"/>
  <c r="E119" i="24" s="1"/>
  <c r="F29" i="24" s="1"/>
  <c r="F119" i="24" s="1"/>
  <c r="G29" i="24" s="1"/>
  <c r="G119" i="24" s="1"/>
  <c r="E104" i="24"/>
  <c r="E113" i="24"/>
  <c r="F23" i="24" s="1"/>
  <c r="F113" i="24" s="1"/>
  <c r="G23" i="24" s="1"/>
  <c r="G113" i="24" s="1"/>
  <c r="E124" i="24"/>
  <c r="F34" i="24" s="1"/>
  <c r="F124" i="24" s="1"/>
  <c r="G34" i="24" s="1"/>
  <c r="G124" i="24" s="1"/>
  <c r="E111" i="24"/>
  <c r="F21" i="24" s="1"/>
  <c r="F111" i="24" s="1"/>
  <c r="G21" i="24" s="1"/>
  <c r="G111" i="24" s="1"/>
  <c r="E122" i="24"/>
  <c r="F32" i="24" s="1"/>
  <c r="F122" i="24" s="1"/>
  <c r="G32" i="24" s="1"/>
  <c r="G122" i="24" s="1"/>
  <c r="E112" i="24"/>
  <c r="F22" i="24" s="1"/>
  <c r="F112" i="24" s="1"/>
  <c r="G22" i="24" s="1"/>
  <c r="G112" i="24" s="1"/>
  <c r="E103" i="24"/>
  <c r="F126" i="24"/>
  <c r="G36" i="24" s="1"/>
  <c r="G126" i="24" s="1"/>
  <c r="F105" i="24"/>
  <c r="G15" i="24" s="1"/>
  <c r="G105" i="24" s="1"/>
  <c r="E97" i="24"/>
  <c r="E67" i="24"/>
  <c r="D110" i="24"/>
  <c r="E20" i="24" s="1"/>
  <c r="E110" i="24" s="1"/>
  <c r="F20" i="24" s="1"/>
  <c r="F110" i="24" s="1"/>
  <c r="G20" i="24" s="1"/>
  <c r="G110" i="24" s="1"/>
  <c r="C107" i="24"/>
  <c r="D17" i="24" s="1"/>
  <c r="D107" i="24" s="1"/>
  <c r="E17" i="24" s="1"/>
  <c r="E107" i="24" s="1"/>
  <c r="F17" i="24" s="1"/>
  <c r="F107" i="24" s="1"/>
  <c r="G17" i="24" s="1"/>
  <c r="G107" i="24" s="1"/>
  <c r="D67" i="24"/>
  <c r="F13" i="24"/>
  <c r="F103" i="24" s="1"/>
  <c r="G13" i="24" s="1"/>
  <c r="G103" i="24" s="1"/>
  <c r="C67" i="24"/>
  <c r="F14" i="24"/>
  <c r="F104" i="24" s="1"/>
  <c r="G14" i="24" s="1"/>
  <c r="G104" i="24" s="1"/>
  <c r="F11" i="24"/>
  <c r="F101" i="24" s="1"/>
  <c r="G11" i="24" s="1"/>
  <c r="G101" i="24" s="1"/>
  <c r="D102" i="24"/>
  <c r="E12" i="24" s="1"/>
  <c r="E102" i="24" s="1"/>
  <c r="F12" i="24" s="1"/>
  <c r="F102" i="24" s="1"/>
  <c r="G12" i="24" s="1"/>
  <c r="G102" i="24" s="1"/>
  <c r="D16" i="24"/>
  <c r="D106" i="24" s="1"/>
  <c r="E16" i="24" s="1"/>
  <c r="E106" i="24" s="1"/>
  <c r="F16" i="24" s="1"/>
  <c r="F106" i="24" s="1"/>
  <c r="G16" i="24" s="1"/>
  <c r="G106" i="24" s="1"/>
  <c r="D99" i="24"/>
  <c r="C70" i="24"/>
  <c r="C97" i="24" s="1"/>
  <c r="C37" i="24"/>
  <c r="E9" i="24" l="1"/>
  <c r="C100" i="24"/>
  <c r="D10" i="24" s="1"/>
  <c r="E99" i="24" l="1"/>
  <c r="F9" i="24" s="1"/>
  <c r="C127" i="24"/>
  <c r="D100" i="24" l="1"/>
  <c r="E10" i="24" s="1"/>
  <c r="D37" i="24"/>
  <c r="D127" i="24" l="1"/>
  <c r="F99" i="24"/>
  <c r="E80" i="23"/>
  <c r="E79" i="23"/>
  <c r="E78" i="23"/>
  <c r="D77" i="23"/>
  <c r="E76" i="23"/>
  <c r="D76" i="23"/>
  <c r="E75" i="23"/>
  <c r="D75" i="23"/>
  <c r="E74" i="23"/>
  <c r="D74" i="23"/>
  <c r="E73" i="23"/>
  <c r="D73" i="23"/>
  <c r="D81" i="23" s="1"/>
  <c r="C71" i="23"/>
  <c r="G70" i="23"/>
  <c r="G69" i="23"/>
  <c r="G71" i="23" s="1"/>
  <c r="F68" i="23"/>
  <c r="F67" i="23"/>
  <c r="F66" i="23"/>
  <c r="E65" i="23"/>
  <c r="E64" i="23"/>
  <c r="E63" i="23"/>
  <c r="F62" i="23"/>
  <c r="E62" i="23"/>
  <c r="F61" i="23"/>
  <c r="E61" i="23"/>
  <c r="F60" i="23"/>
  <c r="E60" i="23"/>
  <c r="E59" i="23"/>
  <c r="E58" i="23"/>
  <c r="E57" i="23"/>
  <c r="E56" i="23"/>
  <c r="E55" i="23"/>
  <c r="F54" i="23"/>
  <c r="E54" i="23"/>
  <c r="E53" i="23"/>
  <c r="E52" i="23"/>
  <c r="D51" i="23"/>
  <c r="D50" i="23"/>
  <c r="D49" i="23"/>
  <c r="D48" i="23"/>
  <c r="D47" i="23"/>
  <c r="F46" i="23"/>
  <c r="E46" i="23"/>
  <c r="D46" i="23"/>
  <c r="C44" i="23"/>
  <c r="G43" i="23"/>
  <c r="G42" i="23"/>
  <c r="G44" i="23" s="1"/>
  <c r="E41" i="23"/>
  <c r="F40" i="23"/>
  <c r="F44" i="23" s="1"/>
  <c r="E40" i="23"/>
  <c r="E39" i="23"/>
  <c r="E38" i="23"/>
  <c r="E37" i="23"/>
  <c r="E36" i="23"/>
  <c r="E35" i="23"/>
  <c r="E34" i="23"/>
  <c r="E33" i="23"/>
  <c r="E32" i="23"/>
  <c r="E31" i="23"/>
  <c r="E30" i="23"/>
  <c r="E29" i="23"/>
  <c r="E44" i="23" s="1"/>
  <c r="D28" i="23"/>
  <c r="D27" i="23"/>
  <c r="D26" i="23"/>
  <c r="D25" i="23"/>
  <c r="D24" i="23"/>
  <c r="D23" i="23"/>
  <c r="D22" i="23"/>
  <c r="D21" i="23"/>
  <c r="D20" i="23"/>
  <c r="D19" i="23"/>
  <c r="G17" i="23"/>
  <c r="D17" i="23"/>
  <c r="C17" i="23"/>
  <c r="F16" i="23"/>
  <c r="F15" i="23"/>
  <c r="F14" i="23"/>
  <c r="E13" i="23"/>
  <c r="F12" i="23"/>
  <c r="E12" i="23"/>
  <c r="F11" i="23"/>
  <c r="E11" i="23"/>
  <c r="F10" i="23"/>
  <c r="E10" i="23"/>
  <c r="E17" i="23" s="1"/>
  <c r="F9" i="23"/>
  <c r="F17" i="23" s="1"/>
  <c r="E9" i="23"/>
  <c r="D44" i="23" l="1"/>
  <c r="E71" i="23"/>
  <c r="E81" i="23"/>
  <c r="F71" i="23"/>
  <c r="D71" i="23"/>
  <c r="E100" i="24"/>
  <c r="F10" i="24" s="1"/>
  <c r="E37" i="24"/>
  <c r="G9" i="24"/>
  <c r="G52" i="21"/>
  <c r="F52" i="21"/>
  <c r="E52" i="21"/>
  <c r="D52" i="21"/>
  <c r="C52" i="21"/>
  <c r="E41" i="21"/>
  <c r="G31" i="21"/>
  <c r="F31" i="21"/>
  <c r="E31" i="21"/>
  <c r="D31" i="21"/>
  <c r="C31" i="21"/>
  <c r="G19" i="21"/>
  <c r="G41" i="21" s="1"/>
  <c r="F19" i="21"/>
  <c r="F41" i="21" s="1"/>
  <c r="E19" i="21"/>
  <c r="D19" i="21"/>
  <c r="D41" i="21" s="1"/>
  <c r="C19" i="21"/>
  <c r="C41" i="21" s="1"/>
  <c r="G33" i="14"/>
  <c r="G99" i="24" l="1"/>
  <c r="E127" i="24"/>
  <c r="D11" i="13"/>
  <c r="E11" i="13"/>
  <c r="F11" i="13"/>
  <c r="G11" i="13"/>
  <c r="C11" i="13"/>
  <c r="F100" i="24" l="1"/>
  <c r="F37" i="24"/>
  <c r="D105" i="17"/>
  <c r="D100" i="14"/>
  <c r="D103" i="13"/>
  <c r="G10" i="24" l="1"/>
  <c r="F127" i="24"/>
  <c r="C104" i="13"/>
  <c r="C106" i="13" s="1"/>
  <c r="G85" i="18"/>
  <c r="G88" i="18" s="1"/>
  <c r="G105" i="17"/>
  <c r="G110" i="17" s="1"/>
  <c r="G106" i="16"/>
  <c r="G107" i="15"/>
  <c r="G103" i="13"/>
  <c r="G106" i="13" s="1"/>
  <c r="D106" i="13"/>
  <c r="E106" i="13"/>
  <c r="G100" i="24" l="1"/>
  <c r="G127" i="24" s="1"/>
  <c r="G37" i="24"/>
  <c r="F88" i="18"/>
  <c r="F105" i="17"/>
  <c r="F103" i="15"/>
  <c r="F103" i="13"/>
  <c r="F106" i="13" l="1"/>
  <c r="D107" i="15"/>
  <c r="E107" i="15"/>
  <c r="F107" i="15"/>
  <c r="C107" i="15"/>
  <c r="D110" i="17"/>
  <c r="E110" i="17"/>
  <c r="F110" i="17"/>
  <c r="C110" i="17"/>
  <c r="D110" i="16"/>
  <c r="E110" i="16"/>
  <c r="F110" i="16"/>
  <c r="G110" i="16"/>
  <c r="C110" i="16"/>
  <c r="D103" i="14"/>
  <c r="E103" i="14"/>
  <c r="F103" i="14"/>
  <c r="G103" i="14"/>
  <c r="C103" i="14"/>
  <c r="D78" i="15" l="1"/>
  <c r="E78" i="15"/>
  <c r="F78" i="15"/>
  <c r="G78" i="15"/>
  <c r="C78" i="15"/>
  <c r="D22" i="14"/>
  <c r="E22" i="14"/>
  <c r="F22" i="14"/>
  <c r="G22" i="14"/>
  <c r="D75" i="14"/>
  <c r="E75" i="14"/>
  <c r="F75" i="14"/>
  <c r="G75" i="14"/>
  <c r="C75" i="14"/>
  <c r="D22" i="13"/>
  <c r="E22" i="13"/>
  <c r="F22" i="13"/>
  <c r="G22" i="13"/>
  <c r="D78" i="13" l="1"/>
  <c r="E78" i="13"/>
  <c r="F78" i="13"/>
  <c r="G78" i="13"/>
  <c r="C78" i="13"/>
  <c r="G38" i="16" l="1"/>
  <c r="G38" i="17"/>
  <c r="F38" i="16" l="1"/>
  <c r="F38" i="17"/>
  <c r="F36" i="15"/>
  <c r="E38" i="17" l="1"/>
  <c r="E38" i="16"/>
  <c r="E36" i="15"/>
  <c r="E36" i="14"/>
  <c r="D38" i="16"/>
  <c r="D38" i="17"/>
  <c r="D36" i="15"/>
  <c r="C38" i="17" l="1"/>
  <c r="C38" i="16"/>
  <c r="G80" i="12" l="1"/>
  <c r="G81" i="12" s="1"/>
  <c r="G82" i="12" s="1"/>
  <c r="G84" i="12"/>
  <c r="F84" i="12"/>
  <c r="F81" i="12"/>
  <c r="F82" i="12" s="1"/>
  <c r="F85" i="12" s="1"/>
  <c r="E81" i="12"/>
  <c r="E82" i="12" s="1"/>
  <c r="E13" i="12"/>
  <c r="F13" i="12"/>
  <c r="G13" i="12"/>
  <c r="E84" i="12"/>
  <c r="D81" i="12"/>
  <c r="D13" i="12"/>
  <c r="D84" i="12"/>
  <c r="H104" i="12"/>
  <c r="H27" i="12" s="1"/>
  <c r="G104" i="12"/>
  <c r="G27" i="12" s="1"/>
  <c r="F104" i="12"/>
  <c r="F27" i="12" s="1"/>
  <c r="E104" i="12"/>
  <c r="E27" i="12" s="1"/>
  <c r="D104" i="12"/>
  <c r="D27" i="12" s="1"/>
  <c r="H98" i="12"/>
  <c r="H9" i="12" s="1"/>
  <c r="G98" i="12"/>
  <c r="G9" i="12" s="1"/>
  <c r="F98" i="12"/>
  <c r="F9" i="12" s="1"/>
  <c r="E98" i="12"/>
  <c r="E9" i="12" s="1"/>
  <c r="D98" i="12"/>
  <c r="D9" i="12" s="1"/>
  <c r="H82" i="12"/>
  <c r="G85" i="12" l="1"/>
  <c r="E85" i="12"/>
  <c r="E8" i="12" s="1"/>
  <c r="D82" i="12"/>
  <c r="H85" i="12"/>
  <c r="H8" i="12" s="1"/>
  <c r="G8" i="12"/>
  <c r="F8" i="12"/>
  <c r="D85" i="12" l="1"/>
  <c r="D8" i="12" s="1"/>
  <c r="E53" i="19"/>
  <c r="E36" i="19" s="1"/>
  <c r="E37" i="19" s="1"/>
  <c r="F31" i="19"/>
  <c r="G53" i="19"/>
  <c r="G36" i="19" s="1"/>
  <c r="F53" i="19"/>
  <c r="F36" i="19" s="1"/>
  <c r="G31" i="19"/>
  <c r="G23" i="19"/>
  <c r="F23" i="19"/>
  <c r="G23" i="18"/>
  <c r="F23" i="18"/>
  <c r="G78" i="18"/>
  <c r="G26" i="18" s="1"/>
  <c r="G31" i="18" s="1"/>
  <c r="F78" i="18"/>
  <c r="F26" i="18" s="1"/>
  <c r="F31" i="18" s="1"/>
  <c r="E78" i="18"/>
  <c r="D78" i="18"/>
  <c r="C78" i="18"/>
  <c r="G65" i="18"/>
  <c r="G36" i="18" s="1"/>
  <c r="F65" i="18"/>
  <c r="F36" i="18" s="1"/>
  <c r="D23" i="17"/>
  <c r="E23" i="17"/>
  <c r="F23" i="17"/>
  <c r="G23" i="17"/>
  <c r="G83" i="17"/>
  <c r="G36" i="17" s="1"/>
  <c r="F83" i="17"/>
  <c r="F36" i="17" s="1"/>
  <c r="D83" i="17"/>
  <c r="D36" i="17" s="1"/>
  <c r="C23" i="17"/>
  <c r="G98" i="17"/>
  <c r="G26" i="17" s="1"/>
  <c r="G31" i="17" s="1"/>
  <c r="F98" i="17"/>
  <c r="F26" i="17" s="1"/>
  <c r="F31" i="17" s="1"/>
  <c r="E98" i="17"/>
  <c r="E26" i="17" s="1"/>
  <c r="E31" i="17" s="1"/>
  <c r="D98" i="17"/>
  <c r="D26" i="17" s="1"/>
  <c r="D31" i="17" s="1"/>
  <c r="C98" i="17"/>
  <c r="C26" i="17" s="1"/>
  <c r="C31" i="17" s="1"/>
  <c r="E83" i="17"/>
  <c r="E36" i="17" s="1"/>
  <c r="C83" i="17"/>
  <c r="C36" i="17" s="1"/>
  <c r="G97" i="16"/>
  <c r="G82" i="16"/>
  <c r="G36" i="16" s="1"/>
  <c r="G23" i="16"/>
  <c r="F82" i="16"/>
  <c r="F36" i="16" s="1"/>
  <c r="F23" i="16"/>
  <c r="E97" i="16"/>
  <c r="E26" i="16" s="1"/>
  <c r="E31" i="16" s="1"/>
  <c r="E82" i="16"/>
  <c r="E36" i="16" s="1"/>
  <c r="E23" i="16"/>
  <c r="D97" i="16"/>
  <c r="D26" i="16" s="1"/>
  <c r="D31" i="16" s="1"/>
  <c r="D82" i="16"/>
  <c r="D36" i="16" s="1"/>
  <c r="D23" i="16"/>
  <c r="C82" i="16"/>
  <c r="C36" i="16" s="1"/>
  <c r="C23" i="16"/>
  <c r="G26" i="16"/>
  <c r="G31" i="16" s="1"/>
  <c r="F97" i="16"/>
  <c r="F26" i="16" s="1"/>
  <c r="F31" i="16" s="1"/>
  <c r="C97" i="16"/>
  <c r="C26" i="16" s="1"/>
  <c r="C31" i="16" s="1"/>
  <c r="G22" i="15"/>
  <c r="G34" i="15"/>
  <c r="G94" i="15"/>
  <c r="G25" i="15" s="1"/>
  <c r="G30" i="15" s="1"/>
  <c r="F22" i="15"/>
  <c r="E22" i="15"/>
  <c r="D34" i="15"/>
  <c r="D22" i="15"/>
  <c r="E34" i="15"/>
  <c r="F34" i="15"/>
  <c r="D94" i="15"/>
  <c r="D25" i="15" s="1"/>
  <c r="D30" i="15" s="1"/>
  <c r="E94" i="15"/>
  <c r="E25" i="15" s="1"/>
  <c r="E30" i="15" s="1"/>
  <c r="F94" i="15"/>
  <c r="F25" i="15" s="1"/>
  <c r="F30" i="15" s="1"/>
  <c r="C22" i="15"/>
  <c r="C94" i="15"/>
  <c r="C25" i="15" s="1"/>
  <c r="C30" i="15" s="1"/>
  <c r="C34" i="15"/>
  <c r="D91" i="14"/>
  <c r="D25" i="14" s="1"/>
  <c r="D30" i="14" s="1"/>
  <c r="E91" i="14"/>
  <c r="E25" i="14" s="1"/>
  <c r="E30" i="14" s="1"/>
  <c r="F91" i="14"/>
  <c r="F25" i="14" s="1"/>
  <c r="F30" i="14" s="1"/>
  <c r="G91" i="14"/>
  <c r="G25" i="14" s="1"/>
  <c r="G30" i="14" s="1"/>
  <c r="F34" i="14"/>
  <c r="G34" i="14"/>
  <c r="D34" i="14"/>
  <c r="E34" i="14"/>
  <c r="C22" i="14"/>
  <c r="C34" i="14"/>
  <c r="C91" i="14"/>
  <c r="C25" i="14" s="1"/>
  <c r="C30" i="14" s="1"/>
  <c r="D94" i="13"/>
  <c r="D25" i="13" s="1"/>
  <c r="E94" i="13"/>
  <c r="E25" i="13" s="1"/>
  <c r="F94" i="13"/>
  <c r="F25" i="13" s="1"/>
  <c r="G94" i="13"/>
  <c r="G25" i="13" s="1"/>
  <c r="C94" i="13"/>
  <c r="C25" i="13" s="1"/>
  <c r="D34" i="13"/>
  <c r="E34" i="13"/>
  <c r="E35" i="13" s="1"/>
  <c r="F34" i="13"/>
  <c r="F35" i="13" s="1"/>
  <c r="G34" i="13"/>
  <c r="G35" i="13" s="1"/>
  <c r="C22" i="13"/>
  <c r="C35" i="14" l="1"/>
  <c r="D35" i="14"/>
  <c r="F35" i="15"/>
  <c r="D35" i="15"/>
  <c r="C35" i="15"/>
  <c r="E35" i="15"/>
  <c r="G35" i="15"/>
  <c r="F35" i="14"/>
  <c r="E35" i="14"/>
  <c r="G35" i="14"/>
  <c r="F37" i="17"/>
  <c r="E39" i="19"/>
  <c r="E37" i="13"/>
  <c r="F37" i="13"/>
  <c r="G37" i="13"/>
  <c r="G37" i="17"/>
  <c r="D37" i="17"/>
  <c r="E37" i="17"/>
  <c r="E37" i="16"/>
  <c r="F37" i="19"/>
  <c r="G37" i="19"/>
  <c r="F37" i="18"/>
  <c r="G37" i="18"/>
  <c r="C37" i="17"/>
  <c r="G37" i="16"/>
  <c r="F37" i="16"/>
  <c r="D37" i="16"/>
  <c r="C37" i="16"/>
  <c r="D30" i="13"/>
  <c r="D35" i="13" s="1"/>
  <c r="C34" i="13"/>
  <c r="C30" i="13"/>
  <c r="C35" i="13" l="1"/>
  <c r="G39" i="18"/>
  <c r="F39" i="18"/>
  <c r="F39" i="17"/>
  <c r="G37" i="15"/>
  <c r="D37" i="15"/>
  <c r="C37" i="15"/>
  <c r="E37" i="15"/>
  <c r="F37" i="15"/>
  <c r="E37" i="14"/>
  <c r="F37" i="14"/>
  <c r="C37" i="14"/>
  <c r="G37" i="14"/>
  <c r="D37" i="14"/>
  <c r="F39" i="19"/>
  <c r="G39" i="19"/>
  <c r="D37" i="13"/>
  <c r="G39" i="17"/>
  <c r="C39" i="17"/>
  <c r="E39" i="17"/>
  <c r="D39" i="17"/>
  <c r="F39" i="16"/>
  <c r="G39" i="16"/>
  <c r="D39" i="16"/>
  <c r="E39" i="16"/>
  <c r="C39" i="16"/>
  <c r="C37" i="13" l="1"/>
  <c r="D65" i="12"/>
  <c r="D20" i="12" s="1"/>
  <c r="D26" i="12" s="1"/>
  <c r="D28" i="12" s="1"/>
  <c r="E65" i="12"/>
  <c r="E20" i="12" s="1"/>
  <c r="F65" i="12"/>
  <c r="F20" i="12" s="1"/>
  <c r="F26" i="12" s="1"/>
  <c r="F28" i="12" s="1"/>
  <c r="F31" i="12" s="1"/>
  <c r="D31" i="12" l="1"/>
  <c r="D71" i="12" s="1"/>
  <c r="F72" i="12"/>
  <c r="F70" i="12"/>
  <c r="F75" i="12"/>
  <c r="F73" i="12"/>
  <c r="F71" i="12"/>
  <c r="F69" i="12"/>
  <c r="E26" i="12"/>
  <c r="E28" i="12" s="1"/>
  <c r="E31" i="12" s="1"/>
  <c r="G65" i="12"/>
  <c r="D69" i="12" l="1"/>
  <c r="D73" i="12"/>
  <c r="D70" i="12"/>
  <c r="D72" i="12"/>
  <c r="E73" i="12"/>
  <c r="E71" i="12"/>
  <c r="E72" i="12"/>
  <c r="E69" i="12"/>
  <c r="E70" i="12"/>
  <c r="F76" i="12"/>
  <c r="G20" i="12"/>
  <c r="H65" i="12"/>
  <c r="H20" i="12" s="1"/>
  <c r="H26" i="12" s="1"/>
  <c r="H28" i="12" s="1"/>
  <c r="H31" i="12" s="1"/>
  <c r="D76" i="12" l="1"/>
  <c r="E76" i="12"/>
  <c r="H75" i="12"/>
  <c r="H71" i="12"/>
  <c r="H74" i="12"/>
  <c r="H70" i="12"/>
  <c r="H73" i="12"/>
  <c r="H69" i="12"/>
  <c r="H72" i="12"/>
  <c r="G26" i="12"/>
  <c r="G28" i="12" s="1"/>
  <c r="G31" i="12" s="1"/>
  <c r="H76" i="12" l="1"/>
  <c r="G72" i="12"/>
  <c r="G75" i="12"/>
  <c r="G71" i="12"/>
  <c r="G74" i="12"/>
  <c r="G70" i="12"/>
  <c r="G73" i="12"/>
  <c r="G69" i="12"/>
  <c r="G76" i="12" l="1"/>
</calcChain>
</file>

<file path=xl/sharedStrings.xml><?xml version="1.0" encoding="utf-8"?>
<sst xmlns="http://schemas.openxmlformats.org/spreadsheetml/2006/main" count="1327" uniqueCount="339">
  <si>
    <t>ITEM</t>
  </si>
  <si>
    <t>KHEP</t>
  </si>
  <si>
    <t>DHEP</t>
  </si>
  <si>
    <t>RHEP</t>
  </si>
  <si>
    <t>AGBPP</t>
  </si>
  <si>
    <t>SOLAR</t>
  </si>
  <si>
    <t>Consumption of stores and spares</t>
  </si>
  <si>
    <t>Repair and maintenance</t>
  </si>
  <si>
    <t>Insurance</t>
  </si>
  <si>
    <t>Security (Normal)</t>
  </si>
  <si>
    <t>Additional Security, if any on the advice of Govt.Agency/Statutory Authority</t>
  </si>
  <si>
    <t>Water charges</t>
  </si>
  <si>
    <t>Rent</t>
  </si>
  <si>
    <t>Electricity charges</t>
  </si>
  <si>
    <t>Travelling and conveyance</t>
  </si>
  <si>
    <t>Communication expenses</t>
  </si>
  <si>
    <t>Advertising</t>
  </si>
  <si>
    <t>Foundation laying and inauguration</t>
  </si>
  <si>
    <t>Donation</t>
  </si>
  <si>
    <t>Filing fees</t>
  </si>
  <si>
    <t>Sub Total (Administrative Expenses)</t>
  </si>
  <si>
    <t>Administrative Expenses:-</t>
  </si>
  <si>
    <t>Employee Cost:-</t>
  </si>
  <si>
    <t>Salaries, wages and allowances</t>
  </si>
  <si>
    <t>Staff welfare expenses</t>
  </si>
  <si>
    <t>Productivity linked incentive</t>
  </si>
  <si>
    <t>Expenditure on VRS</t>
  </si>
  <si>
    <t>Ex-gratia</t>
  </si>
  <si>
    <t>Sub Total (Employee Cost)</t>
  </si>
  <si>
    <t>Provisions</t>
  </si>
  <si>
    <t>Prior period adjustment,if any</t>
  </si>
  <si>
    <t>Corporate office expenses allocation</t>
  </si>
  <si>
    <t>Others (Specify item)</t>
  </si>
  <si>
    <t>Total 1-12</t>
  </si>
  <si>
    <t>Revenue/Recoveries, if any</t>
  </si>
  <si>
    <t>Net Expenses</t>
  </si>
  <si>
    <t>Capital spares consumed not included in (A) (1) above and not claimed/allowed by Commission for</t>
  </si>
  <si>
    <t>Sl No.</t>
  </si>
  <si>
    <t>2014-15</t>
  </si>
  <si>
    <t>2015-16</t>
  </si>
  <si>
    <t>TGBPP</t>
  </si>
  <si>
    <t>Entertainment</t>
  </si>
  <si>
    <t>Performance related pay (PRP)</t>
  </si>
  <si>
    <t>2016-17</t>
  </si>
  <si>
    <t>2013-14</t>
  </si>
  <si>
    <t>2012-13</t>
  </si>
  <si>
    <t>Details of Others</t>
  </si>
  <si>
    <t>Transmission Charges</t>
  </si>
  <si>
    <t>DRE</t>
  </si>
  <si>
    <t>Write off</t>
  </si>
  <si>
    <t>U I Charges</t>
  </si>
  <si>
    <t>Electricity Duty</t>
  </si>
  <si>
    <t>Rates &amp; Taxes</t>
  </si>
  <si>
    <t>Publicity Expenses</t>
  </si>
  <si>
    <t>Wealth Tax</t>
  </si>
  <si>
    <t>Postage &amp; Telegram</t>
  </si>
  <si>
    <t>License &amp; Registration</t>
  </si>
  <si>
    <t>Purchase of Power</t>
  </si>
  <si>
    <t>Bank Charges</t>
  </si>
  <si>
    <t>Social Welfare</t>
  </si>
  <si>
    <t>Office Furnishing</t>
  </si>
  <si>
    <t>Misc Expenses</t>
  </si>
  <si>
    <t>I B Expenses</t>
  </si>
  <si>
    <t>Laboratory &amp; Testing Expenses</t>
  </si>
  <si>
    <t>Photographic Records</t>
  </si>
  <si>
    <t>EDP Expenses</t>
  </si>
  <si>
    <t>Amortization of Lease</t>
  </si>
  <si>
    <t>Legal Expenses</t>
  </si>
  <si>
    <t>Printing &amp; Stationery</t>
  </si>
  <si>
    <t>Transport Expenses</t>
  </si>
  <si>
    <t>Consultancy Expenses</t>
  </si>
  <si>
    <t>Loss on sale of assets</t>
  </si>
  <si>
    <t>Total of Others</t>
  </si>
  <si>
    <t>Leave Encashment</t>
  </si>
  <si>
    <t>Medical Expenses</t>
  </si>
  <si>
    <t>Papers &amp; Periodicals</t>
  </si>
  <si>
    <t>Uniform &amp; Liveries</t>
  </si>
  <si>
    <t>Training Expenses</t>
  </si>
  <si>
    <t>Hospital Expenses</t>
  </si>
  <si>
    <t>Subscription &amp; Membership Fees</t>
  </si>
  <si>
    <t>Compensation</t>
  </si>
  <si>
    <t>NERLDC Fees &amp; Charges</t>
  </si>
  <si>
    <t>Selling Expenses</t>
  </si>
  <si>
    <t>Sustainable Development</t>
  </si>
  <si>
    <t>Research &amp; Development</t>
  </si>
  <si>
    <t>CSR/Swach Bharat</t>
  </si>
  <si>
    <t>Details of Staff Welfare Expenses</t>
  </si>
  <si>
    <t xml:space="preserve">Loss of store/Stock Adv W.Off </t>
  </si>
  <si>
    <t>Staff Recruitment Expenses</t>
  </si>
  <si>
    <t>Interest to Beneficiaries(States)</t>
  </si>
  <si>
    <t>Environment &amp; Ecology</t>
  </si>
  <si>
    <t>RRAS Expenditure</t>
  </si>
  <si>
    <t>Rebate to customers</t>
  </si>
  <si>
    <t>Lubricant, oil etc.</t>
  </si>
  <si>
    <t>Corporation  Contribution To  NESSS</t>
  </si>
  <si>
    <t>Interest subsidy on HBL</t>
  </si>
  <si>
    <t>Rs in lakhs</t>
  </si>
  <si>
    <t>Total of Staff Welfare Expenses</t>
  </si>
  <si>
    <t>DETAILS OF O &amp; M EXPENSES (At Corporate Level/Regional Level)</t>
  </si>
  <si>
    <t>Sl No</t>
  </si>
  <si>
    <t>unit</t>
  </si>
  <si>
    <t>(A)</t>
  </si>
  <si>
    <t>Breakup of corporate expenses</t>
  </si>
  <si>
    <t>Employee Expenses:-</t>
  </si>
  <si>
    <t xml:space="preserve">Security </t>
  </si>
  <si>
    <t>Total ( 1 to 6)</t>
  </si>
  <si>
    <t>Less  Recoveries</t>
  </si>
  <si>
    <t>Net Corporate Expenses</t>
  </si>
  <si>
    <t>(B)</t>
  </si>
  <si>
    <t>Allocation of Corporate Expenses to</t>
  </si>
  <si>
    <t xml:space="preserve">Power Generation </t>
  </si>
  <si>
    <t>Training  and Recruitment</t>
  </si>
  <si>
    <t xml:space="preserve">Transport expenses       </t>
  </si>
  <si>
    <t xml:space="preserve">Printing &amp; stationery       </t>
  </si>
  <si>
    <t xml:space="preserve">Postage &amp; telegram        </t>
  </si>
  <si>
    <t>Medical expenses to Retd.Employees</t>
  </si>
  <si>
    <t xml:space="preserve">Licence &amp; registration </t>
  </si>
  <si>
    <t xml:space="preserve">Honorarium         </t>
  </si>
  <si>
    <t xml:space="preserve">Electric &amp; water charges       </t>
  </si>
  <si>
    <t xml:space="preserve">Bank charges                  </t>
  </si>
  <si>
    <t xml:space="preserve">Social welfare       </t>
  </si>
  <si>
    <t xml:space="preserve">Consultancy charges             </t>
  </si>
  <si>
    <t xml:space="preserve">Office furnishing </t>
  </si>
  <si>
    <t xml:space="preserve">Miscellaneous expenses  </t>
  </si>
  <si>
    <t xml:space="preserve">I.B. expenses               </t>
  </si>
  <si>
    <t xml:space="preserve">Photographic records        </t>
  </si>
  <si>
    <t>Loss of Stock/Advance written off</t>
  </si>
  <si>
    <t>I T Expenses</t>
  </si>
  <si>
    <t>Loss on sale of fixed Assets</t>
  </si>
  <si>
    <t>Audit Fees &amp; Expenses</t>
  </si>
  <si>
    <t>Insurance Charges</t>
  </si>
  <si>
    <t>Entertainment Expenses</t>
  </si>
  <si>
    <t>Advertisement Expense</t>
  </si>
  <si>
    <t>Publicity Expense</t>
  </si>
  <si>
    <t>Board Meeting Expenses</t>
  </si>
  <si>
    <t>Depreciation</t>
  </si>
  <si>
    <t>Prior Period Adjustments</t>
  </si>
  <si>
    <t>Interest on Working Capital Loan</t>
  </si>
  <si>
    <t xml:space="preserve">DETAILS OF OPERATION AND MAINTENANCE EXPENSES </t>
  </si>
  <si>
    <t>Family Benefit- Cash Incentive</t>
  </si>
  <si>
    <t>Loss on Sale of Assets</t>
  </si>
  <si>
    <t>Honorarium</t>
  </si>
  <si>
    <t>AGTP</t>
  </si>
  <si>
    <t>Total</t>
  </si>
  <si>
    <t>Allocation of Corporate office Expenses</t>
  </si>
  <si>
    <t>Generation</t>
  </si>
  <si>
    <t xml:space="preserve">  Details of Salaries , wages and allowances</t>
  </si>
  <si>
    <t xml:space="preserve">   Salaries wages allowances &amp; benefits </t>
  </si>
  <si>
    <t>Contribution to Provident fund &amp; other welfare Expenses</t>
  </si>
  <si>
    <t>Sub Total</t>
  </si>
  <si>
    <t>Less : Productivity Linked Incentive</t>
  </si>
  <si>
    <t>Net Salaries and wages</t>
  </si>
  <si>
    <t xml:space="preserve"> Details of Non operating receipts  :</t>
  </si>
  <si>
    <t>Less : Staff welfare expenses</t>
  </si>
  <si>
    <t xml:space="preserve"> Interest on Investment  </t>
  </si>
  <si>
    <t xml:space="preserve">Others </t>
  </si>
  <si>
    <t>Unit</t>
  </si>
  <si>
    <t>Actual</t>
  </si>
  <si>
    <t>Note</t>
  </si>
  <si>
    <t>IDA salary provision included in Salary,wages &amp; Allowances ( Refer Sl No 7.1 above)</t>
  </si>
  <si>
    <t>IDA salary provision included in Salary,wages &amp; Allowances (Refer Sl No 7.1 above)</t>
  </si>
  <si>
    <t>For Dam, Intake, WCS, Desilting chamber</t>
  </si>
  <si>
    <t>For Power House and all other works</t>
  </si>
  <si>
    <t>Sub Total (Repair and maintenance)</t>
  </si>
  <si>
    <t>Security</t>
  </si>
  <si>
    <t>Loss of store</t>
  </si>
  <si>
    <t>Prior period adjustment</t>
  </si>
  <si>
    <t xml:space="preserve"> Allocation of Corporate office expenses</t>
  </si>
  <si>
    <t>Total 1-10</t>
  </si>
  <si>
    <t xml:space="preserve">Allocation of Corporate office expenses </t>
  </si>
  <si>
    <t>Interest from Contractor</t>
  </si>
  <si>
    <t>Int. from employees on loan</t>
  </si>
  <si>
    <t>Sale of tender forms</t>
  </si>
  <si>
    <t>Liquidated damages recovered</t>
  </si>
  <si>
    <t>Transit Hostel recoveries</t>
  </si>
  <si>
    <t>Sale of Scrap</t>
  </si>
  <si>
    <t>Other receipt (filling fees, I Tax)</t>
  </si>
  <si>
    <t xml:space="preserve">  Total</t>
  </si>
  <si>
    <t>Grant in Aid</t>
  </si>
  <si>
    <t>Profit on Sale of Assets</t>
  </si>
  <si>
    <t>FERV Recoverable</t>
  </si>
  <si>
    <t>Profit on sale of Asset</t>
  </si>
  <si>
    <t>Retention for Ind AS Transition</t>
  </si>
  <si>
    <t>Vehicle Hire Charge</t>
  </si>
  <si>
    <t>Interest on Emp Loan Amortisation</t>
  </si>
  <si>
    <t>Revenue/Recoveries</t>
  </si>
  <si>
    <t xml:space="preserve">Recoveries of Rent </t>
  </si>
  <si>
    <t>Profit on sale of Assets</t>
  </si>
  <si>
    <t>Item</t>
  </si>
  <si>
    <t>Other receipt (ULDC, NERDC,Filling fee, UI, I Tax etc.)</t>
  </si>
  <si>
    <t>Reconcilation of the Expenditures as per the Annexures with the Audited Annual Accounts   (Profit &amp; Loss  Account)</t>
  </si>
  <si>
    <t>Amount INR in lakh</t>
  </si>
  <si>
    <t>I. Expenditure as per the Annexure VI (A) [for Thermal Power Station) and Annexure VII [for Hydro Power Projects} attached</t>
  </si>
  <si>
    <t>Projects</t>
  </si>
  <si>
    <t>Financial Year</t>
  </si>
  <si>
    <t>AGTPCC</t>
  </si>
  <si>
    <t>TGBP</t>
  </si>
  <si>
    <t>M'chak Solar</t>
  </si>
  <si>
    <t>II.Category of Expenditures considered above:</t>
  </si>
  <si>
    <t>Category of exp.</t>
  </si>
  <si>
    <t>Emp. Benefit expenses</t>
  </si>
  <si>
    <t>Generation &amp; Admn. Exp.</t>
  </si>
  <si>
    <t>Other expenses</t>
  </si>
  <si>
    <t>Prior period adj.</t>
  </si>
  <si>
    <t>III. Expenditure as per the Audited Annual Accounts</t>
  </si>
  <si>
    <t>FY</t>
  </si>
  <si>
    <t>Total expenditure</t>
  </si>
  <si>
    <t>IV. Difference between I and III above</t>
  </si>
  <si>
    <t>Difference (III - I)</t>
  </si>
  <si>
    <t xml:space="preserve">V. Reconciliation (expenditures not considered in Annexures VI(A) and VII of I above) </t>
  </si>
  <si>
    <t>Cost of material consumed</t>
  </si>
  <si>
    <t>Finance cost</t>
  </si>
  <si>
    <t>Annexure VII</t>
  </si>
  <si>
    <t>Annexure VI (A)</t>
  </si>
  <si>
    <t>Annexure VIII</t>
  </si>
  <si>
    <t>Name of the generating company : North Eastern Electric Power Corporation Ltd</t>
  </si>
  <si>
    <t>Name of the hydro-electic station: Kopili Hydro Electric Project</t>
  </si>
  <si>
    <t>Name of the hydro-electic station: Doyang Hydro Electric Project</t>
  </si>
  <si>
    <t>Name of the hydro-electic station: Ranganadi Hydro Electric Project</t>
  </si>
  <si>
    <t>Name of the company : North Eastern Electric Power Corporation Ltd</t>
  </si>
  <si>
    <t>Name of the Power Station: Assam Gas Based Power Plant</t>
  </si>
  <si>
    <t>Name of the Power Station: Agartala Gas Turbine Power Plant (C.C.)</t>
  </si>
  <si>
    <t>Name of the Power Station: Tripura Gas Based Power Plant</t>
  </si>
  <si>
    <t>Name of the Power Station: Solar PV Power Plant at M'Chak</t>
  </si>
  <si>
    <t>DETAILS OF CAPITAL SPARES</t>
  </si>
  <si>
    <t>Name of the Company: North Eastern Electric Power Corporation Limited</t>
  </si>
  <si>
    <t>Name of Power station: Assam Gas Based Power Project</t>
  </si>
  <si>
    <t>(Rs. In Lakhs)</t>
  </si>
  <si>
    <t>SI.NO</t>
  </si>
  <si>
    <t>(A) Details of Capital Spares in Opening Stock</t>
  </si>
  <si>
    <t>Gas Flow Meter</t>
  </si>
  <si>
    <t>Material supply related to second compressor unit</t>
  </si>
  <si>
    <t>Material supply related to third compressor unit</t>
  </si>
  <si>
    <t>Compressor Cylinder 23 inch</t>
  </si>
  <si>
    <t>Material supply related to First compressor unit</t>
  </si>
  <si>
    <t xml:space="preserve">Gas Engine 12V 275 GL+ </t>
  </si>
  <si>
    <t>Flexible Metallic Disk Cufling</t>
  </si>
  <si>
    <t>Exhaust Silencer</t>
  </si>
  <si>
    <t>Total (A)</t>
  </si>
  <si>
    <t>(B) Details of Capital Spares procured during the year</t>
  </si>
  <si>
    <t>Megsc B Diasys net metion GT controller and associated equipments-GT4</t>
  </si>
  <si>
    <t>Material supply related to firstcompressor unit</t>
  </si>
  <si>
    <t>Gas Line Valves</t>
  </si>
  <si>
    <t>Main Gas line piping, fitting support structure and Misc</t>
  </si>
  <si>
    <t>Piping material supply related to header modification and gas piping</t>
  </si>
  <si>
    <t>Megsc B Diasys net metion GT controller and associated equipments-GT3</t>
  </si>
  <si>
    <t>Local and Master Control Panel</t>
  </si>
  <si>
    <t>Piping Fitting Valves gauge and strainers, support structure and misc. etc</t>
  </si>
  <si>
    <t>Gas Engine Common Inlet Scruber</t>
  </si>
  <si>
    <t>Gas Engine Common fuel Gas filter including loose item</t>
  </si>
  <si>
    <t>Bellows for exhaust and water pipe line</t>
  </si>
  <si>
    <t>Lube oil Storage with Pump</t>
  </si>
  <si>
    <t>Flexible Metaliic Disc Cufling</t>
  </si>
  <si>
    <t xml:space="preserve">Exhuast Silencer </t>
  </si>
  <si>
    <t>Plant Auxilliary Panel</t>
  </si>
  <si>
    <t xml:space="preserve">Cavling Gas Power Cable Control and Intrumentation cable </t>
  </si>
  <si>
    <t>Air Cool heat exchanger</t>
  </si>
  <si>
    <t>First Thrill (Lube Oil, Lubricant, Coolent, Consumables ETC</t>
  </si>
  <si>
    <t>Megsc B Diasys net metion GT controller and associated equipments-GT1 &amp; 2</t>
  </si>
  <si>
    <t>Vibration Monitoring System alongwith 13 Nos field devices</t>
  </si>
  <si>
    <t>Total (B)</t>
  </si>
  <si>
    <t>(C ) Details of Capital Spares consumed during the year</t>
  </si>
  <si>
    <t>Megsc V Diasys net metion GT controller and associated equipments-GT3</t>
  </si>
  <si>
    <t>Megsc V Diasys net metion GT controller and associated equipments-GT4</t>
  </si>
  <si>
    <t>Material Supply related to First reciprocating compressor unit</t>
  </si>
  <si>
    <t>Material Supply related to second reciprocating compressor unit</t>
  </si>
  <si>
    <t>Material Supply related to Third reciprocating compressor unit 2nd</t>
  </si>
  <si>
    <t>Compresor cylinder 23 inch</t>
  </si>
  <si>
    <t>TOTAL ( C )</t>
  </si>
  <si>
    <t>(D) Details of Capital Spares Closing at the end of the year</t>
  </si>
  <si>
    <t xml:space="preserve">TOTAL (D) </t>
  </si>
  <si>
    <t>Annexure IV (D)</t>
  </si>
  <si>
    <t>SL NO.</t>
  </si>
  <si>
    <t>Details of Capital Sapres in Opening Stock</t>
  </si>
  <si>
    <t>Details of Capital Sapres procured during the year</t>
  </si>
  <si>
    <t>( C )</t>
  </si>
  <si>
    <t>Details of Capital Sapres Consumed during the year</t>
  </si>
  <si>
    <t>(D)</t>
  </si>
  <si>
    <t>Details of Capital Sapres closing at the end of the year</t>
  </si>
  <si>
    <t>Name of the company : North  Eastern E;ectric Power Corporation Ltd</t>
  </si>
  <si>
    <t>COUPLING ACCESSORIES GEAR- 1 No.</t>
  </si>
  <si>
    <t>COUPLING OUT PUT-1 No.</t>
  </si>
  <si>
    <t xml:space="preserve"> 1st Stage Buckets</t>
  </si>
  <si>
    <t>Sroud segment 1st stage</t>
  </si>
  <si>
    <t xml:space="preserve"> Nozzle ARG  1st stage</t>
  </si>
  <si>
    <t xml:space="preserve"> Nozzle ARG  2ND stage</t>
  </si>
  <si>
    <t xml:space="preserve"> Blade kit Turb. Rot stage 1 F5</t>
  </si>
  <si>
    <t xml:space="preserve"> Bearing </t>
  </si>
  <si>
    <t xml:space="preserve"> Battery Bank</t>
  </si>
  <si>
    <t xml:space="preserve"> Lube Oil</t>
  </si>
  <si>
    <t xml:space="preserve"> Main Lube oil</t>
  </si>
  <si>
    <t xml:space="preserve"> Bearing Liner</t>
  </si>
  <si>
    <t xml:space="preserve"> Exciter Bearing</t>
  </si>
  <si>
    <t xml:space="preserve"> Stator bars(Top)</t>
  </si>
  <si>
    <t xml:space="preserve"> Stator bars(Bottom)</t>
  </si>
  <si>
    <t xml:space="preserve"> Stator Winding Kit Hardware</t>
  </si>
  <si>
    <t>G&amp;H,MOTOR FOR REDIAL FAN</t>
  </si>
  <si>
    <t>COMMON CIRCUITS EOS BOARD</t>
  </si>
  <si>
    <t>DRIVE CONTROL CARD</t>
  </si>
  <si>
    <t>(RST)ANALOG 1/0 BOARD)</t>
  </si>
  <si>
    <t>DC.IMPUT PWR.SUPPLY BOARD</t>
  </si>
  <si>
    <t>RING ASSEMBLY SUPPORT 1ST STAGE NOZZLE</t>
  </si>
  <si>
    <t>COUPLING ACCESSORIES GEAR</t>
  </si>
  <si>
    <t>COUPLING OUT PUT</t>
  </si>
  <si>
    <t>BEARING NO-1</t>
  </si>
  <si>
    <t>BEARING NO-2</t>
  </si>
  <si>
    <t>BEARING NO-3</t>
  </si>
  <si>
    <t xml:space="preserve"> BEARING NO-4</t>
  </si>
  <si>
    <t xml:space="preserve"> BEARING NO-5</t>
  </si>
  <si>
    <t>1st Stage Buckets</t>
  </si>
  <si>
    <t xml:space="preserve">Bearing </t>
  </si>
  <si>
    <t>Stator bars(Top)</t>
  </si>
  <si>
    <t>(RST)ANALOG 1/0 BOARD</t>
  </si>
  <si>
    <t>(BEARING NO-3</t>
  </si>
  <si>
    <t xml:space="preserve">BEARING NO-2 </t>
  </si>
  <si>
    <t>Name of the Power Station : Agartala Gas Turbine Power Plant (C. C.)</t>
  </si>
  <si>
    <t>Rs. In lakh</t>
  </si>
  <si>
    <t xml:space="preserve">Name of the Power Station : Tripura Gas Based Power Plant </t>
  </si>
  <si>
    <t>Total (C )</t>
  </si>
  <si>
    <t>TOTAL (D)</t>
  </si>
  <si>
    <t xml:space="preserve"> Lube Oil-</t>
  </si>
  <si>
    <t>Main Lube oil-</t>
  </si>
  <si>
    <t>Exciter Bearing</t>
  </si>
  <si>
    <t xml:space="preserve"> Stator Winding Kit Hardware-</t>
  </si>
  <si>
    <t>BEARING NO-5</t>
  </si>
  <si>
    <t>Blade kit Turb. Rot stage 1 F5</t>
  </si>
  <si>
    <t>Stator Winding Kit Hardware</t>
  </si>
  <si>
    <t>G&amp;H,MOTOR FOR REDIAL FAN-</t>
  </si>
  <si>
    <t>Name of the company : North  Eastern Electric Power Corporation Ltd</t>
  </si>
  <si>
    <t>Detail Of Capital Spares</t>
  </si>
  <si>
    <t>Annexure VI (D)</t>
  </si>
  <si>
    <t>Details of Capital Spares</t>
  </si>
  <si>
    <t>Nil</t>
  </si>
  <si>
    <t xml:space="preserve">Tilting Pad Journal Bearing SA DRG. No. JPU-070-40MC   </t>
  </si>
  <si>
    <t xml:space="preserve">Tilting Pad Thurst Bearing SA DRG  </t>
  </si>
  <si>
    <t xml:space="preserve">4PFLSD180M, 18.5 KW LS2/IE2 Static Converter </t>
  </si>
  <si>
    <t xml:space="preserve">RTC Board for CD12M C06-028 1P  </t>
  </si>
  <si>
    <t>Total (D)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</si>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</sst>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0_);\(0.00\)"/>
    <numFmt numFmtId="166" formatCode="0_);\(0\)"/>
    <numFmt numFmtId="167" formatCode="0.0_);\(0.0\)"/>
    <numFmt numFmtId="168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97">
    <xf numFmtId="0" fontId="0" fillId="0" borderId="0" xfId="0"/>
    <xf numFmtId="0" fontId="1" fillId="0" borderId="1" xfId="0" applyFont="1" applyBorder="1"/>
    <xf numFmtId="2" fontId="0" fillId="0" borderId="0" xfId="0" applyNumberFormat="1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2" fontId="0" fillId="0" borderId="0" xfId="0" applyNumberFormat="1" applyFont="1"/>
    <xf numFmtId="165" fontId="2" fillId="0" borderId="1" xfId="0" applyNumberFormat="1" applyFont="1" applyBorder="1"/>
    <xf numFmtId="2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0" fillId="0" borderId="1" xfId="0" applyNumberFormat="1" applyFont="1" applyFill="1" applyBorder="1"/>
    <xf numFmtId="0" fontId="0" fillId="0" borderId="1" xfId="0" applyFont="1" applyFill="1" applyBorder="1"/>
    <xf numFmtId="4" fontId="0" fillId="0" borderId="0" xfId="0" applyNumberFormat="1" applyFont="1"/>
    <xf numFmtId="2" fontId="0" fillId="0" borderId="0" xfId="0" applyNumberFormat="1" applyFont="1" applyBorder="1"/>
    <xf numFmtId="2" fontId="3" fillId="0" borderId="1" xfId="0" applyNumberFormat="1" applyFont="1" applyBorder="1"/>
    <xf numFmtId="165" fontId="3" fillId="0" borderId="1" xfId="0" applyNumberFormat="1" applyFont="1" applyBorder="1"/>
    <xf numFmtId="0" fontId="3" fillId="0" borderId="1" xfId="0" applyFont="1" applyBorder="1"/>
    <xf numFmtId="2" fontId="3" fillId="2" borderId="1" xfId="0" applyNumberFormat="1" applyFont="1" applyFill="1" applyBorder="1"/>
    <xf numFmtId="2" fontId="6" fillId="2" borderId="1" xfId="0" applyNumberFormat="1" applyFont="1" applyFill="1" applyBorder="1"/>
    <xf numFmtId="165" fontId="0" fillId="0" borderId="1" xfId="0" applyNumberFormat="1" applyFont="1" applyBorder="1"/>
    <xf numFmtId="2" fontId="6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center"/>
    </xf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6" fillId="0" borderId="0" xfId="0" applyNumberFormat="1" applyFont="1" applyBorder="1"/>
    <xf numFmtId="0" fontId="1" fillId="0" borderId="0" xfId="0" applyFont="1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0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/>
    <xf numFmtId="165" fontId="1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3" fillId="2" borderId="1" xfId="0" applyNumberFormat="1" applyFont="1" applyFill="1" applyBorder="1"/>
    <xf numFmtId="165" fontId="4" fillId="0" borderId="1" xfId="0" applyNumberFormat="1" applyFont="1" applyBorder="1"/>
    <xf numFmtId="165" fontId="0" fillId="0" borderId="1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165" fontId="5" fillId="0" borderId="1" xfId="0" applyNumberFormat="1" applyFont="1" applyBorder="1"/>
    <xf numFmtId="165" fontId="0" fillId="0" borderId="1" xfId="0" applyNumberFormat="1" applyFont="1" applyFill="1" applyBorder="1"/>
    <xf numFmtId="165" fontId="1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0" fillId="0" borderId="0" xfId="0" applyFont="1" applyAlignment="1">
      <alignment horizont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2" fontId="3" fillId="0" borderId="0" xfId="0" applyNumberFormat="1" applyFont="1" applyFill="1" applyBorder="1"/>
    <xf numFmtId="0" fontId="3" fillId="0" borderId="0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0" fillId="0" borderId="3" xfId="0" applyFont="1" applyBorder="1"/>
    <xf numFmtId="0" fontId="6" fillId="0" borderId="0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6" fontId="1" fillId="0" borderId="1" xfId="0" applyNumberFormat="1" applyFont="1" applyBorder="1"/>
    <xf numFmtId="2" fontId="0" fillId="0" borderId="1" xfId="0" applyNumberFormat="1" applyFont="1" applyBorder="1" applyAlignment="1">
      <alignment wrapText="1"/>
    </xf>
    <xf numFmtId="165" fontId="6" fillId="0" borderId="1" xfId="0" applyNumberFormat="1" applyFont="1" applyBorder="1"/>
    <xf numFmtId="165" fontId="0" fillId="0" borderId="1" xfId="0" applyNumberFormat="1" applyFont="1" applyBorder="1" applyAlignment="1">
      <alignment horizontal="right"/>
    </xf>
    <xf numFmtId="165" fontId="0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6" fontId="0" fillId="0" borderId="0" xfId="0" applyNumberFormat="1" applyFont="1"/>
    <xf numFmtId="165" fontId="5" fillId="0" borderId="1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6" xfId="0" applyFont="1" applyFill="1" applyBorder="1" applyAlignment="1">
      <alignment wrapText="1"/>
    </xf>
    <xf numFmtId="0" fontId="0" fillId="0" borderId="6" xfId="0" applyFont="1" applyBorder="1"/>
    <xf numFmtId="2" fontId="0" fillId="0" borderId="6" xfId="0" applyNumberFormat="1" applyFont="1" applyBorder="1"/>
    <xf numFmtId="0" fontId="1" fillId="0" borderId="4" xfId="0" applyFont="1" applyBorder="1"/>
    <xf numFmtId="0" fontId="1" fillId="0" borderId="7" xfId="0" applyFont="1" applyBorder="1"/>
    <xf numFmtId="0" fontId="0" fillId="0" borderId="6" xfId="0" applyFont="1" applyFill="1" applyBorder="1" applyAlignment="1">
      <alignment horizontal="left" wrapText="1"/>
    </xf>
    <xf numFmtId="2" fontId="0" fillId="0" borderId="3" xfId="0" applyNumberFormat="1" applyFont="1" applyBorder="1"/>
    <xf numFmtId="167" fontId="0" fillId="0" borderId="1" xfId="0" applyNumberFormat="1" applyFont="1" applyBorder="1"/>
    <xf numFmtId="167" fontId="1" fillId="0" borderId="1" xfId="0" applyNumberFormat="1" applyFont="1" applyBorder="1"/>
    <xf numFmtId="168" fontId="0" fillId="0" borderId="0" xfId="0" applyNumberFormat="1" applyFont="1"/>
    <xf numFmtId="2" fontId="1" fillId="0" borderId="1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0" xfId="0" applyFont="1" applyFill="1" applyBorder="1" applyAlignment="1">
      <alignment wrapText="1"/>
    </xf>
    <xf numFmtId="165" fontId="2" fillId="0" borderId="1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166" fontId="0" fillId="0" borderId="5" xfId="0" applyNumberFormat="1" applyFont="1" applyBorder="1"/>
    <xf numFmtId="165" fontId="0" fillId="0" borderId="0" xfId="0" applyNumberFormat="1" applyFont="1" applyBorder="1"/>
    <xf numFmtId="2" fontId="3" fillId="0" borderId="5" xfId="0" applyNumberFormat="1" applyFont="1" applyFill="1" applyBorder="1"/>
    <xf numFmtId="0" fontId="8" fillId="0" borderId="0" xfId="0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 applyAlignment="1"/>
    <xf numFmtId="2" fontId="3" fillId="0" borderId="1" xfId="0" applyNumberFormat="1" applyFont="1" applyBorder="1" applyAlignment="1"/>
    <xf numFmtId="0" fontId="6" fillId="0" borderId="1" xfId="0" applyFont="1" applyBorder="1" applyAlignment="1"/>
    <xf numFmtId="2" fontId="6" fillId="0" borderId="1" xfId="0" applyNumberFormat="1" applyFont="1" applyBorder="1" applyAlignment="1"/>
    <xf numFmtId="0" fontId="6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 applyBorder="1" applyAlignment="1">
      <alignment vertical="top"/>
    </xf>
    <xf numFmtId="2" fontId="0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164" fontId="0" fillId="0" borderId="1" xfId="1" applyFont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1" applyFont="1" applyBorder="1" applyAlignment="1">
      <alignment vertical="center"/>
    </xf>
    <xf numFmtId="0" fontId="0" fillId="0" borderId="0" xfId="0" applyFont="1" applyBorder="1" applyAlignment="1"/>
    <xf numFmtId="0" fontId="0" fillId="0" borderId="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164" fontId="0" fillId="0" borderId="11" xfId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/>
    <xf numFmtId="0" fontId="6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zoomScale="91" zoomScaleNormal="91" workbookViewId="0">
      <selection activeCell="L6" sqref="L6"/>
    </sheetView>
  </sheetViews>
  <sheetFormatPr defaultRowHeight="15" x14ac:dyDescent="0.25"/>
  <cols>
    <col min="1" max="1" width="6" style="4" customWidth="1"/>
    <col min="2" max="2" width="35.28515625" style="4" customWidth="1"/>
    <col min="3" max="5" width="10.140625" style="4" customWidth="1"/>
    <col min="6" max="6" width="11" style="6" customWidth="1"/>
    <col min="7" max="7" width="10.140625" style="4" customWidth="1"/>
    <col min="8" max="16384" width="9.140625" style="4"/>
  </cols>
  <sheetData>
    <row r="1" spans="1:14" x14ac:dyDescent="0.25">
      <c r="F1" s="137" t="s">
        <v>212</v>
      </c>
      <c r="G1" s="137"/>
    </row>
    <row r="2" spans="1:14" x14ac:dyDescent="0.25">
      <c r="A2" s="138" t="s">
        <v>138</v>
      </c>
      <c r="B2" s="138"/>
      <c r="C2" s="138"/>
      <c r="D2" s="138"/>
      <c r="E2" s="138"/>
      <c r="F2" s="138"/>
      <c r="G2" s="138"/>
    </row>
    <row r="3" spans="1:14" x14ac:dyDescent="0.25">
      <c r="A3" s="138" t="s">
        <v>215</v>
      </c>
      <c r="B3" s="138"/>
      <c r="C3" s="138"/>
      <c r="D3" s="138"/>
      <c r="E3" s="138"/>
      <c r="F3" s="138"/>
      <c r="G3" s="138"/>
    </row>
    <row r="4" spans="1:14" x14ac:dyDescent="0.25">
      <c r="A4" s="138" t="s">
        <v>216</v>
      </c>
      <c r="B4" s="138"/>
      <c r="C4" s="138"/>
      <c r="D4" s="138"/>
      <c r="E4" s="138"/>
      <c r="F4" s="138"/>
      <c r="G4" s="138"/>
    </row>
    <row r="5" spans="1:14" x14ac:dyDescent="0.25">
      <c r="G5" s="30" t="s">
        <v>96</v>
      </c>
    </row>
    <row r="6" spans="1:14" x14ac:dyDescent="0.25">
      <c r="A6" s="1" t="s">
        <v>37</v>
      </c>
      <c r="B6" s="1" t="s">
        <v>0</v>
      </c>
      <c r="C6" s="1" t="s">
        <v>45</v>
      </c>
      <c r="D6" s="1" t="s">
        <v>44</v>
      </c>
      <c r="E6" s="1" t="s">
        <v>38</v>
      </c>
      <c r="F6" s="11" t="s">
        <v>39</v>
      </c>
      <c r="G6" s="1" t="s">
        <v>43</v>
      </c>
    </row>
    <row r="7" spans="1:14" x14ac:dyDescent="0.25">
      <c r="A7" s="5">
        <v>1</v>
      </c>
      <c r="B7" s="5" t="s">
        <v>6</v>
      </c>
      <c r="C7" s="5"/>
      <c r="D7" s="5"/>
      <c r="E7" s="5"/>
      <c r="F7" s="16"/>
      <c r="G7" s="5"/>
    </row>
    <row r="8" spans="1:14" x14ac:dyDescent="0.25">
      <c r="A8" s="5">
        <v>2</v>
      </c>
      <c r="B8" s="5" t="s">
        <v>7</v>
      </c>
      <c r="C8" s="16"/>
      <c r="D8" s="16"/>
      <c r="E8" s="16"/>
      <c r="F8" s="16"/>
      <c r="G8" s="16"/>
    </row>
    <row r="9" spans="1:14" x14ac:dyDescent="0.25">
      <c r="A9" s="5">
        <v>2.1</v>
      </c>
      <c r="B9" s="5" t="s">
        <v>161</v>
      </c>
      <c r="C9" s="16">
        <v>120.41</v>
      </c>
      <c r="D9" s="16">
        <v>196.4</v>
      </c>
      <c r="E9" s="16">
        <v>268.76</v>
      </c>
      <c r="F9" s="16">
        <v>368.59</v>
      </c>
      <c r="G9" s="16">
        <v>265.82</v>
      </c>
      <c r="H9" s="91"/>
      <c r="I9" s="26"/>
    </row>
    <row r="10" spans="1:14" x14ac:dyDescent="0.25">
      <c r="A10" s="5"/>
      <c r="B10" s="5" t="s">
        <v>162</v>
      </c>
      <c r="C10" s="16">
        <v>855.82</v>
      </c>
      <c r="D10" s="16">
        <v>605.59</v>
      </c>
      <c r="E10" s="16">
        <v>688.37</v>
      </c>
      <c r="F10" s="16">
        <v>604.54</v>
      </c>
      <c r="G10" s="16">
        <v>1422.25</v>
      </c>
      <c r="H10" s="91"/>
      <c r="I10" s="26"/>
    </row>
    <row r="11" spans="1:14" x14ac:dyDescent="0.25">
      <c r="A11" s="5"/>
      <c r="B11" s="5" t="s">
        <v>163</v>
      </c>
      <c r="C11" s="16">
        <f>SUM(C9:C10)</f>
        <v>976.23</v>
      </c>
      <c r="D11" s="16">
        <f t="shared" ref="D11:G11" si="0">SUM(D9:D10)</f>
        <v>801.99</v>
      </c>
      <c r="E11" s="16">
        <f t="shared" si="0"/>
        <v>957.13</v>
      </c>
      <c r="F11" s="16">
        <f t="shared" si="0"/>
        <v>973.12999999999988</v>
      </c>
      <c r="G11" s="16">
        <f t="shared" si="0"/>
        <v>1688.07</v>
      </c>
    </row>
    <row r="12" spans="1:14" x14ac:dyDescent="0.25">
      <c r="A12" s="5">
        <v>3</v>
      </c>
      <c r="B12" s="5" t="s">
        <v>8</v>
      </c>
      <c r="C12" s="16">
        <v>70.466329999999999</v>
      </c>
      <c r="D12" s="16">
        <v>74.077290000000005</v>
      </c>
      <c r="E12" s="16">
        <v>78.819999999999993</v>
      </c>
      <c r="F12" s="16">
        <v>73.83</v>
      </c>
      <c r="G12" s="16">
        <v>74.3</v>
      </c>
    </row>
    <row r="13" spans="1:14" x14ac:dyDescent="0.25">
      <c r="A13" s="5">
        <v>4</v>
      </c>
      <c r="B13" s="5" t="s">
        <v>164</v>
      </c>
      <c r="C13" s="17">
        <v>298.24644999999998</v>
      </c>
      <c r="D13" s="17">
        <v>339.76071000000002</v>
      </c>
      <c r="E13" s="17">
        <v>485.91090000000003</v>
      </c>
      <c r="F13" s="16">
        <v>252.24</v>
      </c>
      <c r="G13" s="17">
        <v>371.61</v>
      </c>
      <c r="N13" s="4" t="s">
        <v>338</v>
      </c>
    </row>
    <row r="14" spans="1:14" x14ac:dyDescent="0.25">
      <c r="A14" s="5">
        <v>5</v>
      </c>
      <c r="B14" s="1" t="s">
        <v>21</v>
      </c>
      <c r="C14" s="18"/>
      <c r="D14" s="18"/>
      <c r="E14" s="18"/>
      <c r="F14" s="16"/>
      <c r="G14" s="18"/>
    </row>
    <row r="15" spans="1:14" x14ac:dyDescent="0.25">
      <c r="A15" s="5">
        <v>5.0999999999999996</v>
      </c>
      <c r="B15" s="5" t="s">
        <v>12</v>
      </c>
      <c r="C15" s="18"/>
      <c r="D15" s="16"/>
      <c r="E15" s="18"/>
      <c r="F15" s="16"/>
      <c r="G15" s="16"/>
    </row>
    <row r="16" spans="1:14" x14ac:dyDescent="0.25">
      <c r="A16" s="5">
        <v>5.2</v>
      </c>
      <c r="B16" s="5" t="s">
        <v>13</v>
      </c>
      <c r="C16" s="18">
        <v>42.63</v>
      </c>
      <c r="D16" s="18">
        <v>109.64999999999999</v>
      </c>
      <c r="E16" s="18"/>
      <c r="F16" s="16">
        <v>15.34</v>
      </c>
      <c r="G16" s="18">
        <v>23.98</v>
      </c>
    </row>
    <row r="17" spans="1:7" x14ac:dyDescent="0.25">
      <c r="A17" s="5">
        <v>5.3</v>
      </c>
      <c r="B17" s="5" t="s">
        <v>14</v>
      </c>
      <c r="C17" s="16">
        <v>29.64752</v>
      </c>
      <c r="D17" s="16">
        <v>41.34</v>
      </c>
      <c r="E17" s="16">
        <v>50.09</v>
      </c>
      <c r="F17" s="16">
        <v>42.77</v>
      </c>
      <c r="G17" s="16">
        <v>56.57</v>
      </c>
    </row>
    <row r="18" spans="1:7" x14ac:dyDescent="0.25">
      <c r="A18" s="5">
        <v>5.4</v>
      </c>
      <c r="B18" s="5" t="s">
        <v>15</v>
      </c>
      <c r="C18" s="17">
        <v>2.7373699999999999</v>
      </c>
      <c r="D18" s="17">
        <v>4.76</v>
      </c>
      <c r="E18" s="17">
        <v>5.5</v>
      </c>
      <c r="F18" s="16">
        <v>6.28</v>
      </c>
      <c r="G18" s="17">
        <v>5.75</v>
      </c>
    </row>
    <row r="19" spans="1:7" x14ac:dyDescent="0.25">
      <c r="A19" s="5">
        <v>5.5</v>
      </c>
      <c r="B19" s="5" t="s">
        <v>16</v>
      </c>
      <c r="C19" s="16">
        <v>19.780529999999999</v>
      </c>
      <c r="D19" s="16">
        <v>34.04</v>
      </c>
      <c r="E19" s="18">
        <v>10.06</v>
      </c>
      <c r="F19" s="16">
        <v>28.6</v>
      </c>
      <c r="G19" s="16">
        <v>20.89</v>
      </c>
    </row>
    <row r="20" spans="1:7" x14ac:dyDescent="0.25">
      <c r="A20" s="5">
        <v>5.6</v>
      </c>
      <c r="B20" s="5" t="s">
        <v>18</v>
      </c>
      <c r="C20" s="18"/>
      <c r="D20" s="18"/>
      <c r="E20" s="18"/>
      <c r="F20" s="16"/>
      <c r="G20" s="16"/>
    </row>
    <row r="21" spans="1:7" x14ac:dyDescent="0.25">
      <c r="A21" s="5">
        <v>5.7</v>
      </c>
      <c r="B21" s="5" t="s">
        <v>41</v>
      </c>
      <c r="C21" s="16">
        <v>0.20846999999999999</v>
      </c>
      <c r="D21" s="16">
        <v>1.39</v>
      </c>
      <c r="E21" s="16">
        <v>0.53</v>
      </c>
      <c r="F21" s="16">
        <v>0.87</v>
      </c>
      <c r="G21" s="16">
        <v>0.33</v>
      </c>
    </row>
    <row r="22" spans="1:7" x14ac:dyDescent="0.25">
      <c r="A22" s="1"/>
      <c r="B22" s="1" t="s">
        <v>20</v>
      </c>
      <c r="C22" s="11">
        <f>SUM(C15:C21)</f>
        <v>95.003890000000013</v>
      </c>
      <c r="D22" s="11">
        <f t="shared" ref="D22:G22" si="1">SUM(D15:D21)</f>
        <v>191.17999999999998</v>
      </c>
      <c r="E22" s="11">
        <f t="shared" si="1"/>
        <v>66.180000000000007</v>
      </c>
      <c r="F22" s="11">
        <f t="shared" si="1"/>
        <v>93.860000000000014</v>
      </c>
      <c r="G22" s="11">
        <f t="shared" si="1"/>
        <v>107.52</v>
      </c>
    </row>
    <row r="23" spans="1:7" x14ac:dyDescent="0.25">
      <c r="A23" s="5">
        <v>6</v>
      </c>
      <c r="B23" s="1" t="s">
        <v>22</v>
      </c>
      <c r="C23" s="5"/>
      <c r="D23" s="5"/>
      <c r="E23" s="5"/>
      <c r="F23" s="8"/>
      <c r="G23" s="5"/>
    </row>
    <row r="24" spans="1:7" x14ac:dyDescent="0.25">
      <c r="A24" s="5">
        <v>6.1</v>
      </c>
      <c r="B24" s="5" t="s">
        <v>23</v>
      </c>
      <c r="C24" s="8">
        <v>4716.8093237878784</v>
      </c>
      <c r="D24" s="8">
        <v>3871.54</v>
      </c>
      <c r="E24" s="8">
        <v>4035.56</v>
      </c>
      <c r="F24" s="8">
        <v>3738.84</v>
      </c>
      <c r="G24" s="8">
        <v>5793.2199999999993</v>
      </c>
    </row>
    <row r="25" spans="1:7" x14ac:dyDescent="0.25">
      <c r="A25" s="5">
        <v>6.2</v>
      </c>
      <c r="B25" s="5" t="s">
        <v>24</v>
      </c>
      <c r="C25" s="8">
        <f>+C94</f>
        <v>513.26936999999998</v>
      </c>
      <c r="D25" s="8">
        <f t="shared" ref="D25:G25" si="2">+D94</f>
        <v>304.34999999999991</v>
      </c>
      <c r="E25" s="8">
        <f t="shared" si="2"/>
        <v>674.43</v>
      </c>
      <c r="F25" s="8">
        <f t="shared" si="2"/>
        <v>564.05103999999994</v>
      </c>
      <c r="G25" s="8">
        <f t="shared" si="2"/>
        <v>706.79</v>
      </c>
    </row>
    <row r="26" spans="1:7" x14ac:dyDescent="0.25">
      <c r="A26" s="5">
        <v>6.3</v>
      </c>
      <c r="B26" s="5" t="s">
        <v>25</v>
      </c>
      <c r="C26" s="5"/>
      <c r="D26" s="5"/>
      <c r="E26" s="5"/>
      <c r="F26" s="8"/>
      <c r="G26" s="5"/>
    </row>
    <row r="27" spans="1:7" x14ac:dyDescent="0.25">
      <c r="A27" s="5">
        <v>6.4</v>
      </c>
      <c r="B27" s="5" t="s">
        <v>26</v>
      </c>
      <c r="C27" s="5"/>
      <c r="D27" s="5"/>
      <c r="E27" s="5"/>
      <c r="F27" s="8"/>
      <c r="G27" s="5"/>
    </row>
    <row r="28" spans="1:7" x14ac:dyDescent="0.25">
      <c r="A28" s="5">
        <v>6.5</v>
      </c>
      <c r="B28" s="5" t="s">
        <v>27</v>
      </c>
      <c r="C28" s="5"/>
      <c r="D28" s="5"/>
      <c r="E28" s="5"/>
      <c r="F28" s="8"/>
      <c r="G28" s="5"/>
    </row>
    <row r="29" spans="1:7" x14ac:dyDescent="0.25">
      <c r="A29" s="5">
        <v>6.6</v>
      </c>
      <c r="B29" s="5" t="s">
        <v>42</v>
      </c>
      <c r="C29" s="8">
        <v>214.71</v>
      </c>
      <c r="D29" s="8">
        <v>135.75</v>
      </c>
      <c r="E29" s="8">
        <v>260.5</v>
      </c>
      <c r="F29" s="8">
        <v>247.26</v>
      </c>
      <c r="G29" s="8">
        <v>152.56</v>
      </c>
    </row>
    <row r="30" spans="1:7" x14ac:dyDescent="0.25">
      <c r="A30" s="1"/>
      <c r="B30" s="1" t="s">
        <v>28</v>
      </c>
      <c r="C30" s="8">
        <f>SUM(C24:C29)</f>
        <v>5444.7886937878784</v>
      </c>
      <c r="D30" s="8">
        <f t="shared" ref="D30" si="3">SUM(D24:D29)</f>
        <v>4311.6399999999994</v>
      </c>
      <c r="E30" s="8">
        <v>4970.49</v>
      </c>
      <c r="F30" s="8">
        <v>4550.1451000000006</v>
      </c>
      <c r="G30" s="8">
        <v>6652.57</v>
      </c>
    </row>
    <row r="31" spans="1:7" x14ac:dyDescent="0.25">
      <c r="A31" s="5">
        <v>7</v>
      </c>
      <c r="B31" s="5" t="s">
        <v>165</v>
      </c>
      <c r="C31" s="19">
        <v>3.66</v>
      </c>
      <c r="D31" s="19">
        <v>71.005290000000002</v>
      </c>
      <c r="E31" s="19">
        <v>4.07</v>
      </c>
      <c r="F31" s="19"/>
      <c r="G31" s="20"/>
    </row>
    <row r="32" spans="1:7" x14ac:dyDescent="0.25">
      <c r="A32" s="5">
        <v>8</v>
      </c>
      <c r="B32" s="5" t="s">
        <v>29</v>
      </c>
      <c r="C32" s="8"/>
      <c r="D32" s="8"/>
      <c r="E32" s="8"/>
      <c r="F32" s="8"/>
      <c r="G32" s="8"/>
    </row>
    <row r="33" spans="1:11" ht="17.25" customHeight="1" x14ac:dyDescent="0.25">
      <c r="A33" s="5">
        <v>9</v>
      </c>
      <c r="B33" s="9" t="s">
        <v>167</v>
      </c>
      <c r="C33" s="8">
        <v>1467.58</v>
      </c>
      <c r="D33" s="8">
        <v>2159.96</v>
      </c>
      <c r="E33" s="8">
        <v>1680.41</v>
      </c>
      <c r="F33" s="8">
        <v>1474.19</v>
      </c>
      <c r="G33" s="8">
        <v>505.59</v>
      </c>
    </row>
    <row r="34" spans="1:11" ht="21.75" customHeight="1" x14ac:dyDescent="0.25">
      <c r="A34" s="5">
        <v>10</v>
      </c>
      <c r="B34" s="5" t="s">
        <v>32</v>
      </c>
      <c r="C34" s="8">
        <f>+C78</f>
        <v>1917.9142834999998</v>
      </c>
      <c r="D34" s="8">
        <f t="shared" ref="D34:G34" si="4">+D78</f>
        <v>2980.8936200000003</v>
      </c>
      <c r="E34" s="8">
        <f t="shared" si="4"/>
        <v>1501.3933937348713</v>
      </c>
      <c r="F34" s="8">
        <f t="shared" si="4"/>
        <v>3789.2292300000008</v>
      </c>
      <c r="G34" s="8">
        <f t="shared" si="4"/>
        <v>1691.1299999999994</v>
      </c>
    </row>
    <row r="35" spans="1:11" ht="21.75" customHeight="1" x14ac:dyDescent="0.25">
      <c r="A35" s="1">
        <v>11</v>
      </c>
      <c r="B35" s="1" t="s">
        <v>168</v>
      </c>
      <c r="C35" s="11">
        <f>+C7+C11+C12+C13+C22+C30+C31+C32+C33+C34</f>
        <v>10273.889647287879</v>
      </c>
      <c r="D35" s="11">
        <f t="shared" ref="D35:G35" si="5">+D7+D11+D12+D13+D22+D30+D31+D32+D33+D34</f>
        <v>10930.50691</v>
      </c>
      <c r="E35" s="11">
        <f t="shared" si="5"/>
        <v>9744.4042937348713</v>
      </c>
      <c r="F35" s="11">
        <f t="shared" si="5"/>
        <v>11206.624330000002</v>
      </c>
      <c r="G35" s="11">
        <f t="shared" si="5"/>
        <v>11090.789999999999</v>
      </c>
    </row>
    <row r="36" spans="1:11" ht="21.75" customHeight="1" x14ac:dyDescent="0.25">
      <c r="A36" s="5">
        <v>12</v>
      </c>
      <c r="B36" s="5" t="s">
        <v>34</v>
      </c>
      <c r="C36" s="5">
        <v>449.96</v>
      </c>
      <c r="D36" s="5">
        <v>320.73</v>
      </c>
      <c r="E36" s="5">
        <v>71.430000000000007</v>
      </c>
      <c r="F36" s="8">
        <v>32.54</v>
      </c>
      <c r="G36" s="8">
        <v>16.7</v>
      </c>
      <c r="J36" s="6"/>
      <c r="K36" s="6"/>
    </row>
    <row r="37" spans="1:11" ht="21.75" customHeight="1" x14ac:dyDescent="0.25">
      <c r="A37" s="5">
        <v>13</v>
      </c>
      <c r="B37" s="5" t="s">
        <v>35</v>
      </c>
      <c r="C37" s="8">
        <f>+C35-C36</f>
        <v>9823.9296472878796</v>
      </c>
      <c r="D37" s="8">
        <f t="shared" ref="D37:G37" si="6">+D35-D36</f>
        <v>10609.77691</v>
      </c>
      <c r="E37" s="8">
        <f t="shared" si="6"/>
        <v>9672.974293734871</v>
      </c>
      <c r="F37" s="8">
        <f t="shared" si="6"/>
        <v>11174.084330000002</v>
      </c>
      <c r="G37" s="8">
        <f t="shared" si="6"/>
        <v>11074.089999999998</v>
      </c>
    </row>
    <row r="38" spans="1:11" ht="48" customHeight="1" x14ac:dyDescent="0.25">
      <c r="A38" s="5">
        <v>14</v>
      </c>
      <c r="B38" s="9" t="s">
        <v>36</v>
      </c>
      <c r="C38" s="9"/>
      <c r="D38" s="9"/>
      <c r="E38" s="9"/>
      <c r="F38" s="61"/>
      <c r="G38" s="9"/>
    </row>
    <row r="39" spans="1:11" x14ac:dyDescent="0.25">
      <c r="A39" s="77" t="s">
        <v>158</v>
      </c>
    </row>
    <row r="40" spans="1:11" ht="45" x14ac:dyDescent="0.25">
      <c r="A40" s="73"/>
      <c r="B40" s="74" t="s">
        <v>160</v>
      </c>
      <c r="C40" s="75"/>
      <c r="D40" s="75"/>
      <c r="E40" s="75"/>
      <c r="F40" s="76"/>
      <c r="G40" s="52">
        <v>243.49</v>
      </c>
    </row>
    <row r="41" spans="1:11" x14ac:dyDescent="0.25">
      <c r="A41" s="85"/>
      <c r="B41" s="86"/>
      <c r="C41" s="26"/>
      <c r="D41" s="26"/>
      <c r="E41" s="26"/>
      <c r="F41" s="15"/>
      <c r="G41" s="26"/>
    </row>
    <row r="42" spans="1:11" x14ac:dyDescent="0.25">
      <c r="A42" s="143" t="s">
        <v>46</v>
      </c>
      <c r="B42" s="143"/>
      <c r="C42" s="143"/>
      <c r="D42" s="143"/>
      <c r="E42" s="143"/>
      <c r="F42" s="143"/>
      <c r="G42" s="143"/>
    </row>
    <row r="43" spans="1:11" x14ac:dyDescent="0.25">
      <c r="A43" s="5" t="s">
        <v>37</v>
      </c>
      <c r="B43" s="57" t="s">
        <v>0</v>
      </c>
      <c r="C43" s="1" t="s">
        <v>45</v>
      </c>
      <c r="D43" s="1" t="s">
        <v>44</v>
      </c>
      <c r="E43" s="1" t="s">
        <v>38</v>
      </c>
      <c r="F43" s="11" t="s">
        <v>39</v>
      </c>
      <c r="G43" s="1" t="s">
        <v>43</v>
      </c>
    </row>
    <row r="44" spans="1:11" x14ac:dyDescent="0.25">
      <c r="A44" s="5">
        <v>1</v>
      </c>
      <c r="B44" s="5" t="s">
        <v>57</v>
      </c>
      <c r="C44" s="8">
        <v>348.66048000000001</v>
      </c>
      <c r="D44" s="8">
        <v>318.16000000000003</v>
      </c>
      <c r="E44" s="8">
        <v>355.61</v>
      </c>
      <c r="F44" s="8">
        <v>120.99839</v>
      </c>
      <c r="G44" s="8">
        <v>0</v>
      </c>
    </row>
    <row r="45" spans="1:11" x14ac:dyDescent="0.25">
      <c r="A45" s="5">
        <v>2</v>
      </c>
      <c r="B45" s="5" t="s">
        <v>47</v>
      </c>
      <c r="C45" s="8">
        <v>4.38612</v>
      </c>
      <c r="D45" s="8">
        <v>7.34</v>
      </c>
      <c r="E45" s="5"/>
      <c r="F45" s="8">
        <v>1.6307</v>
      </c>
      <c r="G45" s="8">
        <v>1.51</v>
      </c>
    </row>
    <row r="46" spans="1:11" x14ac:dyDescent="0.25">
      <c r="A46" s="5">
        <v>3</v>
      </c>
      <c r="B46" s="5" t="s">
        <v>50</v>
      </c>
      <c r="C46" s="8">
        <v>131.43870000000001</v>
      </c>
      <c r="D46" s="8">
        <v>183.04</v>
      </c>
      <c r="E46" s="8">
        <v>209.34</v>
      </c>
      <c r="F46" s="8">
        <v>33.97992</v>
      </c>
      <c r="G46" s="8">
        <v>66.69</v>
      </c>
    </row>
    <row r="47" spans="1:11" x14ac:dyDescent="0.25">
      <c r="A47" s="5">
        <v>4</v>
      </c>
      <c r="B47" s="5" t="s">
        <v>51</v>
      </c>
      <c r="C47" s="8">
        <v>7.9257</v>
      </c>
      <c r="D47" s="8">
        <v>4.88</v>
      </c>
      <c r="E47" s="8">
        <v>5.81</v>
      </c>
      <c r="F47" s="8">
        <v>6.17</v>
      </c>
      <c r="G47" s="8">
        <v>5.83</v>
      </c>
    </row>
    <row r="48" spans="1:11" x14ac:dyDescent="0.25">
      <c r="A48" s="5">
        <v>5</v>
      </c>
      <c r="B48" s="5" t="s">
        <v>48</v>
      </c>
      <c r="C48" s="8">
        <v>704.17092349999996</v>
      </c>
      <c r="D48" s="8">
        <v>11.57</v>
      </c>
      <c r="E48" s="8">
        <v>54.65</v>
      </c>
      <c r="F48" s="8"/>
      <c r="G48" s="5"/>
    </row>
    <row r="49" spans="1:7" x14ac:dyDescent="0.25">
      <c r="A49" s="5">
        <v>6</v>
      </c>
      <c r="B49" s="5" t="s">
        <v>49</v>
      </c>
      <c r="C49" s="8">
        <v>0</v>
      </c>
      <c r="D49" s="8">
        <v>206.89</v>
      </c>
      <c r="E49" s="8">
        <v>86.07</v>
      </c>
      <c r="F49" s="8">
        <v>2336</v>
      </c>
      <c r="G49" s="8">
        <v>110.64</v>
      </c>
    </row>
    <row r="50" spans="1:7" x14ac:dyDescent="0.25">
      <c r="A50" s="5">
        <v>7</v>
      </c>
      <c r="B50" s="5" t="s">
        <v>92</v>
      </c>
      <c r="C50" s="8">
        <v>194.14</v>
      </c>
      <c r="D50" s="8">
        <v>43.7</v>
      </c>
      <c r="E50" s="5"/>
      <c r="F50" s="12">
        <v>110.47033</v>
      </c>
      <c r="G50" s="5"/>
    </row>
    <row r="51" spans="1:7" x14ac:dyDescent="0.25">
      <c r="A51" s="5">
        <v>8</v>
      </c>
      <c r="B51" s="5" t="s">
        <v>52</v>
      </c>
      <c r="C51" s="8">
        <v>27.994260000000001</v>
      </c>
      <c r="D51" s="8">
        <v>4.5715399999999997</v>
      </c>
      <c r="E51" s="8">
        <v>26.05</v>
      </c>
      <c r="F51" s="12">
        <v>20.51202</v>
      </c>
      <c r="G51" s="12">
        <v>22.240000000000002</v>
      </c>
    </row>
    <row r="52" spans="1:7" x14ac:dyDescent="0.25">
      <c r="A52" s="5">
        <v>9</v>
      </c>
      <c r="B52" s="5" t="s">
        <v>53</v>
      </c>
      <c r="C52" s="8">
        <v>3</v>
      </c>
      <c r="D52" s="5"/>
      <c r="E52" s="8">
        <v>0.35</v>
      </c>
      <c r="F52" s="8">
        <v>0.74146999999999996</v>
      </c>
      <c r="G52" s="12">
        <v>2.02</v>
      </c>
    </row>
    <row r="53" spans="1:7" x14ac:dyDescent="0.25">
      <c r="A53" s="5">
        <v>10</v>
      </c>
      <c r="B53" s="5" t="s">
        <v>54</v>
      </c>
      <c r="C53" s="8">
        <v>2.02779</v>
      </c>
      <c r="D53" s="8">
        <v>1.88</v>
      </c>
      <c r="E53" s="8">
        <v>1.71</v>
      </c>
      <c r="F53" s="8"/>
      <c r="G53" s="8"/>
    </row>
    <row r="54" spans="1:7" x14ac:dyDescent="0.25">
      <c r="A54" s="5">
        <v>11</v>
      </c>
      <c r="B54" s="5" t="s">
        <v>67</v>
      </c>
      <c r="C54" s="8">
        <v>0</v>
      </c>
      <c r="D54" s="8">
        <v>0.5</v>
      </c>
      <c r="E54" s="8">
        <v>3.55</v>
      </c>
      <c r="F54" s="8">
        <v>15.113580000000001</v>
      </c>
      <c r="G54" s="8">
        <v>18.84</v>
      </c>
    </row>
    <row r="55" spans="1:7" x14ac:dyDescent="0.25">
      <c r="A55" s="5">
        <v>12</v>
      </c>
      <c r="B55" s="5" t="s">
        <v>66</v>
      </c>
      <c r="C55" s="8">
        <v>0</v>
      </c>
      <c r="D55" s="5"/>
      <c r="E55" s="5"/>
      <c r="F55" s="8"/>
      <c r="G55" s="8">
        <v>73.89</v>
      </c>
    </row>
    <row r="56" spans="1:7" x14ac:dyDescent="0.25">
      <c r="A56" s="5">
        <v>13</v>
      </c>
      <c r="B56" s="13" t="s">
        <v>81</v>
      </c>
      <c r="C56" s="8">
        <v>186.51186000000001</v>
      </c>
      <c r="D56" s="8">
        <v>279.31</v>
      </c>
      <c r="E56" s="8">
        <v>216.49</v>
      </c>
      <c r="F56" s="8">
        <v>97.658839999999998</v>
      </c>
      <c r="G56" s="8">
        <v>120.17</v>
      </c>
    </row>
    <row r="57" spans="1:7" x14ac:dyDescent="0.25">
      <c r="A57" s="5">
        <v>14</v>
      </c>
      <c r="B57" s="13" t="s">
        <v>82</v>
      </c>
      <c r="C57" s="8">
        <v>32.42</v>
      </c>
      <c r="D57" s="8">
        <v>106.7</v>
      </c>
      <c r="E57" s="8">
        <v>10.7</v>
      </c>
      <c r="F57" s="8"/>
      <c r="G57" s="12">
        <v>230.39</v>
      </c>
    </row>
    <row r="58" spans="1:7" x14ac:dyDescent="0.25">
      <c r="A58" s="5">
        <v>15</v>
      </c>
      <c r="B58" s="13" t="s">
        <v>83</v>
      </c>
      <c r="C58" s="8">
        <v>5.4506300000000003</v>
      </c>
      <c r="D58" s="8">
        <v>12</v>
      </c>
      <c r="E58" s="5"/>
      <c r="F58" s="8"/>
      <c r="G58" s="5"/>
    </row>
    <row r="59" spans="1:7" x14ac:dyDescent="0.25">
      <c r="A59" s="5">
        <v>16</v>
      </c>
      <c r="B59" s="5" t="s">
        <v>84</v>
      </c>
      <c r="C59" s="8">
        <v>42.150509999999997</v>
      </c>
      <c r="D59" s="8">
        <v>32.619999999999997</v>
      </c>
      <c r="E59" s="8">
        <v>20.73</v>
      </c>
      <c r="F59" s="8">
        <v>20.84</v>
      </c>
      <c r="G59" s="8">
        <v>13.27</v>
      </c>
    </row>
    <row r="60" spans="1:7" x14ac:dyDescent="0.25">
      <c r="A60" s="5">
        <v>17</v>
      </c>
      <c r="B60" s="5" t="s">
        <v>85</v>
      </c>
      <c r="C60" s="8">
        <v>75.020020000000002</v>
      </c>
      <c r="D60" s="8">
        <v>110.2</v>
      </c>
      <c r="E60" s="8">
        <v>193.75</v>
      </c>
      <c r="F60" s="12">
        <v>157.54999999999998</v>
      </c>
      <c r="G60" s="8">
        <v>136.97</v>
      </c>
    </row>
    <row r="61" spans="1:7" x14ac:dyDescent="0.25">
      <c r="A61" s="5">
        <v>18</v>
      </c>
      <c r="B61" s="5" t="s">
        <v>89</v>
      </c>
      <c r="C61" s="8"/>
      <c r="D61" s="8">
        <v>948.33</v>
      </c>
      <c r="E61" s="8">
        <v>13.84</v>
      </c>
      <c r="F61" s="8">
        <v>182.83394000000001</v>
      </c>
      <c r="G61" s="8">
        <v>0.52</v>
      </c>
    </row>
    <row r="62" spans="1:7" x14ac:dyDescent="0.25">
      <c r="A62" s="5">
        <v>19</v>
      </c>
      <c r="B62" s="5" t="s">
        <v>69</v>
      </c>
      <c r="C62" s="8">
        <v>109.96177</v>
      </c>
      <c r="D62" s="8">
        <v>139.1</v>
      </c>
      <c r="E62" s="8">
        <v>180.98</v>
      </c>
      <c r="F62" s="8">
        <v>160.91999999999999</v>
      </c>
      <c r="G62" s="12">
        <v>168.78</v>
      </c>
    </row>
    <row r="63" spans="1:7" x14ac:dyDescent="0.25">
      <c r="A63" s="5">
        <v>20</v>
      </c>
      <c r="B63" s="5" t="s">
        <v>68</v>
      </c>
      <c r="C63" s="8">
        <v>4.3404499999999997</v>
      </c>
      <c r="D63" s="8">
        <v>2.96</v>
      </c>
      <c r="E63" s="8">
        <v>6</v>
      </c>
      <c r="F63" s="8">
        <v>3.9704899999999999</v>
      </c>
      <c r="G63" s="8">
        <v>2.93</v>
      </c>
    </row>
    <row r="64" spans="1:7" x14ac:dyDescent="0.25">
      <c r="A64" s="5">
        <v>21</v>
      </c>
      <c r="B64" s="5" t="s">
        <v>55</v>
      </c>
      <c r="C64" s="8">
        <v>0.16853000000000001</v>
      </c>
      <c r="D64" s="8">
        <v>0.32</v>
      </c>
      <c r="E64" s="8">
        <v>0.24</v>
      </c>
      <c r="F64" s="12">
        <v>0.24618999999999999</v>
      </c>
      <c r="G64" s="8">
        <v>0.33</v>
      </c>
    </row>
    <row r="65" spans="1:7" x14ac:dyDescent="0.25">
      <c r="A65" s="5">
        <v>22</v>
      </c>
      <c r="B65" s="5" t="s">
        <v>56</v>
      </c>
      <c r="C65" s="8">
        <v>0.84262999999999999</v>
      </c>
      <c r="D65" s="8">
        <v>0.97</v>
      </c>
      <c r="E65" s="8">
        <v>1.36</v>
      </c>
      <c r="F65" s="8">
        <v>0.88263000000000003</v>
      </c>
      <c r="G65" s="8">
        <v>3.04</v>
      </c>
    </row>
    <row r="66" spans="1:7" x14ac:dyDescent="0.25">
      <c r="A66" s="5">
        <v>23</v>
      </c>
      <c r="B66" s="5" t="s">
        <v>58</v>
      </c>
      <c r="C66" s="8">
        <v>0.89912999999999998</v>
      </c>
      <c r="D66" s="8">
        <v>0.16136</v>
      </c>
      <c r="E66" s="8">
        <v>0.95</v>
      </c>
      <c r="F66" s="8">
        <v>0.33019999999999999</v>
      </c>
      <c r="G66" s="8">
        <v>0.06</v>
      </c>
    </row>
    <row r="67" spans="1:7" x14ac:dyDescent="0.25">
      <c r="A67" s="5">
        <v>24</v>
      </c>
      <c r="B67" s="5" t="s">
        <v>59</v>
      </c>
      <c r="C67" s="8">
        <v>191.80962</v>
      </c>
      <c r="D67" s="8">
        <v>162.87</v>
      </c>
      <c r="E67" s="8">
        <v>176.21</v>
      </c>
      <c r="F67" s="8">
        <v>183.46</v>
      </c>
      <c r="G67" s="8">
        <v>214.06</v>
      </c>
    </row>
    <row r="68" spans="1:7" x14ac:dyDescent="0.25">
      <c r="A68" s="5">
        <v>25</v>
      </c>
      <c r="B68" s="5" t="s">
        <v>70</v>
      </c>
      <c r="C68" s="8">
        <v>0.19483999999999999</v>
      </c>
      <c r="D68" s="8">
        <v>3.24</v>
      </c>
      <c r="E68" s="8">
        <v>305.35000000000002</v>
      </c>
      <c r="F68" s="8">
        <v>1.3753</v>
      </c>
      <c r="G68" s="12">
        <v>24.04</v>
      </c>
    </row>
    <row r="69" spans="1:7" x14ac:dyDescent="0.25">
      <c r="A69" s="5">
        <v>26</v>
      </c>
      <c r="B69" s="5" t="s">
        <v>60</v>
      </c>
      <c r="C69" s="8">
        <v>0</v>
      </c>
      <c r="D69" s="8">
        <v>0.92915999999999999</v>
      </c>
      <c r="E69" s="8">
        <v>0.84</v>
      </c>
      <c r="F69" s="8"/>
      <c r="G69" s="8">
        <v>0.09</v>
      </c>
    </row>
    <row r="70" spans="1:7" x14ac:dyDescent="0.25">
      <c r="A70" s="5">
        <v>27</v>
      </c>
      <c r="B70" s="5" t="s">
        <v>61</v>
      </c>
      <c r="C70" s="8">
        <v>10.213229999999999</v>
      </c>
      <c r="D70" s="8">
        <v>13.15441</v>
      </c>
      <c r="E70" s="8">
        <v>16.28</v>
      </c>
      <c r="F70" s="12">
        <v>20.15053</v>
      </c>
      <c r="G70" s="8">
        <v>15.1</v>
      </c>
    </row>
    <row r="71" spans="1:7" x14ac:dyDescent="0.25">
      <c r="A71" s="5">
        <v>28</v>
      </c>
      <c r="B71" s="5" t="s">
        <v>62</v>
      </c>
      <c r="C71" s="8">
        <v>0.96816000000000002</v>
      </c>
      <c r="D71" s="8"/>
      <c r="E71" s="8">
        <v>1.34</v>
      </c>
      <c r="F71" s="8">
        <v>0</v>
      </c>
      <c r="G71" s="8">
        <v>0.09</v>
      </c>
    </row>
    <row r="72" spans="1:7" x14ac:dyDescent="0.25">
      <c r="A72" s="5">
        <v>29</v>
      </c>
      <c r="B72" s="5" t="s">
        <v>64</v>
      </c>
      <c r="C72" s="8">
        <v>0</v>
      </c>
      <c r="D72" s="8"/>
      <c r="E72" s="8"/>
      <c r="F72" s="8"/>
      <c r="G72" s="8">
        <v>7.0000000000000007E-2</v>
      </c>
    </row>
    <row r="73" spans="1:7" x14ac:dyDescent="0.25">
      <c r="A73" s="5">
        <v>30</v>
      </c>
      <c r="B73" s="5" t="s">
        <v>65</v>
      </c>
      <c r="C73" s="8">
        <v>10.340109999999999</v>
      </c>
      <c r="D73" s="8">
        <v>15.385579999999999</v>
      </c>
      <c r="E73" s="8">
        <v>18.989999999999998</v>
      </c>
      <c r="F73" s="8">
        <v>16.71</v>
      </c>
      <c r="G73" s="8">
        <v>28.57</v>
      </c>
    </row>
    <row r="74" spans="1:7" x14ac:dyDescent="0.25">
      <c r="A74" s="5">
        <v>31</v>
      </c>
      <c r="B74" s="5" t="s">
        <v>71</v>
      </c>
      <c r="C74" s="8">
        <v>1.89882</v>
      </c>
      <c r="D74" s="8"/>
      <c r="E74" s="8">
        <v>0.12</v>
      </c>
      <c r="F74" s="8">
        <v>0.34683000000000003</v>
      </c>
      <c r="G74" s="8">
        <v>390.45</v>
      </c>
    </row>
    <row r="75" spans="1:7" x14ac:dyDescent="0.25">
      <c r="A75" s="5">
        <v>32</v>
      </c>
      <c r="B75" s="5" t="s">
        <v>90</v>
      </c>
      <c r="C75" s="8"/>
      <c r="D75" s="8"/>
      <c r="E75" s="8"/>
      <c r="F75" s="8"/>
      <c r="G75" s="8">
        <v>25</v>
      </c>
    </row>
    <row r="76" spans="1:7" x14ac:dyDescent="0.25">
      <c r="A76" s="5">
        <v>33</v>
      </c>
      <c r="B76" s="5" t="s">
        <v>19</v>
      </c>
      <c r="C76" s="16">
        <v>20.6</v>
      </c>
      <c r="D76" s="16">
        <v>18.100000000000001</v>
      </c>
      <c r="E76" s="16">
        <v>12.7</v>
      </c>
      <c r="F76" s="16">
        <v>15.1</v>
      </c>
      <c r="G76" s="16">
        <v>15.54</v>
      </c>
    </row>
    <row r="77" spans="1:7" x14ac:dyDescent="0.25">
      <c r="A77" s="5">
        <v>34</v>
      </c>
      <c r="B77" s="5" t="s">
        <v>166</v>
      </c>
      <c r="C77" s="21">
        <v>-199.62</v>
      </c>
      <c r="D77" s="21">
        <v>352.01157000000001</v>
      </c>
      <c r="E77" s="21">
        <v>-418.61660626512815</v>
      </c>
      <c r="F77" s="8">
        <v>281.23786999999999</v>
      </c>
      <c r="G77" s="21"/>
    </row>
    <row r="78" spans="1:7" x14ac:dyDescent="0.25">
      <c r="A78" s="141" t="s">
        <v>72</v>
      </c>
      <c r="B78" s="142"/>
      <c r="C78" s="22">
        <f>SUM(C44:C77)</f>
        <v>1917.9142834999998</v>
      </c>
      <c r="D78" s="22">
        <f t="shared" ref="D78:G78" si="7">SUM(D44:D77)</f>
        <v>2980.8936200000003</v>
      </c>
      <c r="E78" s="22">
        <f t="shared" si="7"/>
        <v>1501.3933937348713</v>
      </c>
      <c r="F78" s="22">
        <f t="shared" si="7"/>
        <v>3789.2292300000008</v>
      </c>
      <c r="G78" s="22">
        <f t="shared" si="7"/>
        <v>1691.1299999999994</v>
      </c>
    </row>
    <row r="81" spans="1:7" x14ac:dyDescent="0.25">
      <c r="A81" s="143" t="s">
        <v>86</v>
      </c>
      <c r="B81" s="143"/>
      <c r="C81" s="143"/>
      <c r="D81" s="143"/>
      <c r="E81" s="143"/>
      <c r="F81" s="143"/>
      <c r="G81" s="143"/>
    </row>
    <row r="82" spans="1:7" x14ac:dyDescent="0.25">
      <c r="A82" s="1" t="s">
        <v>37</v>
      </c>
      <c r="B82" s="10" t="s">
        <v>0</v>
      </c>
      <c r="C82" s="1" t="s">
        <v>45</v>
      </c>
      <c r="D82" s="1" t="s">
        <v>44</v>
      </c>
      <c r="E82" s="1" t="s">
        <v>38</v>
      </c>
      <c r="F82" s="11" t="s">
        <v>39</v>
      </c>
      <c r="G82" s="1" t="s">
        <v>43</v>
      </c>
    </row>
    <row r="83" spans="1:7" x14ac:dyDescent="0.25">
      <c r="A83" s="5">
        <v>1</v>
      </c>
      <c r="B83" s="5" t="s">
        <v>73</v>
      </c>
      <c r="C83" s="16">
        <v>301.86</v>
      </c>
      <c r="D83" s="16">
        <v>90.03</v>
      </c>
      <c r="E83" s="16">
        <v>422.4</v>
      </c>
      <c r="F83" s="16">
        <v>312.01</v>
      </c>
      <c r="G83" s="16">
        <v>412.45999999999992</v>
      </c>
    </row>
    <row r="84" spans="1:7" x14ac:dyDescent="0.25">
      <c r="A84" s="5">
        <v>2</v>
      </c>
      <c r="B84" s="5" t="s">
        <v>74</v>
      </c>
      <c r="C84" s="16">
        <v>125.40201</v>
      </c>
      <c r="D84" s="8">
        <v>157.88999999999999</v>
      </c>
      <c r="E84" s="8">
        <v>165.79</v>
      </c>
      <c r="F84" s="8">
        <v>195.68</v>
      </c>
      <c r="G84" s="8">
        <v>210.07999999999998</v>
      </c>
    </row>
    <row r="85" spans="1:7" x14ac:dyDescent="0.25">
      <c r="A85" s="5">
        <v>3</v>
      </c>
      <c r="B85" s="5" t="s">
        <v>75</v>
      </c>
      <c r="C85" s="16">
        <v>6.3729999999999995E-2</v>
      </c>
      <c r="D85" s="8">
        <v>0.04</v>
      </c>
      <c r="E85" s="8">
        <v>0.11</v>
      </c>
      <c r="F85" s="8">
        <v>0.08</v>
      </c>
      <c r="G85" s="8">
        <v>0.18</v>
      </c>
    </row>
    <row r="86" spans="1:7" x14ac:dyDescent="0.25">
      <c r="A86" s="5">
        <v>4</v>
      </c>
      <c r="B86" s="5" t="s">
        <v>76</v>
      </c>
      <c r="C86" s="16">
        <v>2.2450999999999999</v>
      </c>
      <c r="D86" s="8">
        <v>4.43</v>
      </c>
      <c r="E86" s="8">
        <v>1.61</v>
      </c>
      <c r="F86" s="8">
        <v>2.3199999999999998</v>
      </c>
      <c r="G86" s="8">
        <v>0.61</v>
      </c>
    </row>
    <row r="87" spans="1:7" x14ac:dyDescent="0.25">
      <c r="A87" s="5">
        <v>5</v>
      </c>
      <c r="B87" s="5" t="s">
        <v>77</v>
      </c>
      <c r="C87" s="16">
        <v>40.973739999999999</v>
      </c>
      <c r="D87" s="8">
        <v>35.08</v>
      </c>
      <c r="E87" s="8">
        <v>34.130000000000003</v>
      </c>
      <c r="F87" s="8">
        <v>47.089999999999996</v>
      </c>
      <c r="G87" s="8">
        <v>30.740000000000002</v>
      </c>
    </row>
    <row r="88" spans="1:7" x14ac:dyDescent="0.25">
      <c r="A88" s="5">
        <v>6</v>
      </c>
      <c r="B88" s="5" t="s">
        <v>78</v>
      </c>
      <c r="C88" s="16">
        <v>1.7347900000000001</v>
      </c>
      <c r="D88" s="8">
        <v>2.14</v>
      </c>
      <c r="E88" s="8">
        <v>1.72</v>
      </c>
      <c r="F88" s="8">
        <v>2.2910400000000002</v>
      </c>
      <c r="G88" s="8">
        <v>4.54</v>
      </c>
    </row>
    <row r="89" spans="1:7" x14ac:dyDescent="0.25">
      <c r="A89" s="5">
        <v>7</v>
      </c>
      <c r="B89" s="5" t="s">
        <v>79</v>
      </c>
      <c r="C89" s="16">
        <v>0</v>
      </c>
      <c r="D89" s="8"/>
      <c r="E89" s="12"/>
      <c r="F89" s="8"/>
      <c r="G89" s="8">
        <v>2.35</v>
      </c>
    </row>
    <row r="90" spans="1:7" x14ac:dyDescent="0.25">
      <c r="A90" s="5">
        <v>8</v>
      </c>
      <c r="B90" s="5" t="s">
        <v>80</v>
      </c>
      <c r="C90" s="16">
        <v>30.42</v>
      </c>
      <c r="D90" s="8">
        <v>4.5</v>
      </c>
      <c r="E90" s="12">
        <v>38.5</v>
      </c>
      <c r="F90" s="8"/>
      <c r="G90" s="8">
        <v>35</v>
      </c>
    </row>
    <row r="91" spans="1:7" x14ac:dyDescent="0.25">
      <c r="A91" s="5">
        <v>9</v>
      </c>
      <c r="B91" s="5" t="s">
        <v>94</v>
      </c>
      <c r="C91" s="16">
        <v>9.76</v>
      </c>
      <c r="D91" s="8">
        <v>8.5299999999999994</v>
      </c>
      <c r="E91" s="12">
        <v>7.89</v>
      </c>
      <c r="F91" s="8"/>
      <c r="G91" s="5"/>
    </row>
    <row r="92" spans="1:7" x14ac:dyDescent="0.25">
      <c r="A92" s="5">
        <v>10</v>
      </c>
      <c r="B92" s="5" t="s">
        <v>95</v>
      </c>
      <c r="C92" s="16">
        <v>0.81</v>
      </c>
      <c r="D92" s="8">
        <v>1.71</v>
      </c>
      <c r="E92" s="12">
        <v>2.2799999999999998</v>
      </c>
      <c r="F92" s="8">
        <v>3.01</v>
      </c>
      <c r="G92" s="8">
        <v>8.9700000000000006</v>
      </c>
    </row>
    <row r="93" spans="1:7" x14ac:dyDescent="0.25">
      <c r="A93" s="5">
        <v>11</v>
      </c>
      <c r="B93" s="13" t="s">
        <v>139</v>
      </c>
      <c r="C93" s="5"/>
      <c r="D93" s="5"/>
      <c r="E93" s="5"/>
      <c r="F93" s="8">
        <v>1.57</v>
      </c>
      <c r="G93" s="8">
        <v>1.8599999999999999</v>
      </c>
    </row>
    <row r="94" spans="1:7" x14ac:dyDescent="0.25">
      <c r="A94" s="139" t="s">
        <v>97</v>
      </c>
      <c r="B94" s="140"/>
      <c r="C94" s="22">
        <f>SUM(C83:C93)</f>
        <v>513.26936999999998</v>
      </c>
      <c r="D94" s="22">
        <f t="shared" ref="D94:G94" si="8">SUM(D83:D93)</f>
        <v>304.34999999999991</v>
      </c>
      <c r="E94" s="22">
        <f t="shared" si="8"/>
        <v>674.43</v>
      </c>
      <c r="F94" s="22">
        <f t="shared" si="8"/>
        <v>564.05103999999994</v>
      </c>
      <c r="G94" s="22">
        <f t="shared" si="8"/>
        <v>706.79</v>
      </c>
    </row>
    <row r="95" spans="1:7" x14ac:dyDescent="0.25">
      <c r="D95" s="14"/>
    </row>
    <row r="96" spans="1:7" x14ac:dyDescent="0.25">
      <c r="B96" s="26" t="s">
        <v>34</v>
      </c>
    </row>
    <row r="97" spans="1:7" x14ac:dyDescent="0.25">
      <c r="A97" s="1" t="s">
        <v>37</v>
      </c>
      <c r="B97" s="10" t="s">
        <v>0</v>
      </c>
      <c r="C97" s="10" t="s">
        <v>45</v>
      </c>
      <c r="D97" s="10" t="s">
        <v>44</v>
      </c>
      <c r="E97" s="10" t="s">
        <v>38</v>
      </c>
      <c r="F97" s="84" t="s">
        <v>39</v>
      </c>
      <c r="G97" s="10" t="s">
        <v>43</v>
      </c>
    </row>
    <row r="98" spans="1:7" x14ac:dyDescent="0.25">
      <c r="A98" s="5">
        <v>1</v>
      </c>
      <c r="B98" s="5" t="s">
        <v>170</v>
      </c>
      <c r="C98" s="5">
        <v>402.78</v>
      </c>
      <c r="D98" s="5"/>
      <c r="E98" s="5"/>
      <c r="F98" s="8"/>
      <c r="G98" s="5"/>
    </row>
    <row r="99" spans="1:7" x14ac:dyDescent="0.25">
      <c r="A99" s="5">
        <v>2</v>
      </c>
      <c r="B99" s="5" t="s">
        <v>171</v>
      </c>
      <c r="C99" s="5">
        <v>4.4400000000000004</v>
      </c>
      <c r="D99" s="5">
        <v>2.0499999999999998</v>
      </c>
      <c r="E99" s="5">
        <v>1.59</v>
      </c>
      <c r="F99" s="8">
        <v>1.29</v>
      </c>
      <c r="G99" s="5">
        <v>0.24</v>
      </c>
    </row>
    <row r="100" spans="1:7" x14ac:dyDescent="0.25">
      <c r="A100" s="5">
        <v>3</v>
      </c>
      <c r="B100" s="5" t="s">
        <v>172</v>
      </c>
      <c r="C100" s="5">
        <v>0.27</v>
      </c>
      <c r="D100" s="5"/>
      <c r="E100" s="5"/>
      <c r="F100" s="8"/>
      <c r="G100" s="5"/>
    </row>
    <row r="101" spans="1:7" x14ac:dyDescent="0.25">
      <c r="A101" s="5">
        <v>4</v>
      </c>
      <c r="B101" s="5" t="s">
        <v>173</v>
      </c>
      <c r="C101" s="5">
        <v>25.840000000000003</v>
      </c>
      <c r="D101" s="5"/>
      <c r="E101" s="5">
        <v>4.4800000000000004</v>
      </c>
      <c r="F101" s="8"/>
      <c r="G101" s="8">
        <v>2.7</v>
      </c>
    </row>
    <row r="102" spans="1:7" x14ac:dyDescent="0.25">
      <c r="A102" s="5">
        <v>5</v>
      </c>
      <c r="B102" s="5" t="s">
        <v>174</v>
      </c>
      <c r="C102" s="5">
        <v>2.0099999999999998</v>
      </c>
      <c r="D102" s="5">
        <v>0.54</v>
      </c>
      <c r="E102" s="5">
        <v>3.42</v>
      </c>
      <c r="F102" s="8">
        <v>1.05</v>
      </c>
      <c r="G102" s="5">
        <v>0.62</v>
      </c>
    </row>
    <row r="103" spans="1:7" ht="30" x14ac:dyDescent="0.25">
      <c r="A103" s="5">
        <v>6</v>
      </c>
      <c r="B103" s="9" t="s">
        <v>189</v>
      </c>
      <c r="C103" s="5">
        <v>4.62</v>
      </c>
      <c r="D103" s="5">
        <f>0.06+196.14+18.18+102.72</f>
        <v>317.10000000000002</v>
      </c>
      <c r="E103" s="5">
        <v>61.94</v>
      </c>
      <c r="F103" s="8">
        <f>11.97+18.23</f>
        <v>30.200000000000003</v>
      </c>
      <c r="G103" s="5">
        <f>1.23+11.7</f>
        <v>12.93</v>
      </c>
    </row>
    <row r="104" spans="1:7" x14ac:dyDescent="0.25">
      <c r="A104" s="5">
        <v>7</v>
      </c>
      <c r="B104" s="5" t="s">
        <v>186</v>
      </c>
      <c r="C104" s="8">
        <f>5.12+4.88</f>
        <v>10</v>
      </c>
      <c r="D104" s="5">
        <v>1.04</v>
      </c>
      <c r="E104" s="5"/>
      <c r="F104" s="8"/>
      <c r="G104" s="5"/>
    </row>
    <row r="105" spans="1:7" x14ac:dyDescent="0.25">
      <c r="A105" s="5">
        <v>8</v>
      </c>
      <c r="B105" s="5" t="s">
        <v>184</v>
      </c>
      <c r="C105" s="5"/>
      <c r="D105" s="5"/>
      <c r="E105" s="5"/>
      <c r="F105" s="8"/>
      <c r="G105" s="5">
        <v>0.21</v>
      </c>
    </row>
    <row r="106" spans="1:7" x14ac:dyDescent="0.25">
      <c r="A106" s="139" t="s">
        <v>177</v>
      </c>
      <c r="B106" s="140"/>
      <c r="C106" s="5">
        <f>SUM(C98:C105)</f>
        <v>449.95999999999992</v>
      </c>
      <c r="D106" s="5">
        <f>SUM(D98:D105)</f>
        <v>320.73</v>
      </c>
      <c r="E106" s="5">
        <f>SUM(E98:E105)</f>
        <v>71.429999999999993</v>
      </c>
      <c r="F106" s="5">
        <f>SUM(F98:F105)</f>
        <v>32.540000000000006</v>
      </c>
      <c r="G106" s="8">
        <f>SUM(G98:G105)</f>
        <v>16.700000000000003</v>
      </c>
    </row>
  </sheetData>
  <mergeCells count="9">
    <mergeCell ref="F1:G1"/>
    <mergeCell ref="A3:G3"/>
    <mergeCell ref="A4:G4"/>
    <mergeCell ref="A2:G2"/>
    <mergeCell ref="A106:B106"/>
    <mergeCell ref="A94:B94"/>
    <mergeCell ref="A78:B78"/>
    <mergeCell ref="A42:G42"/>
    <mergeCell ref="A81:G81"/>
  </mergeCells>
  <pageMargins left="0.7" right="0.22" top="0.48" bottom="0.48" header="0.3" footer="0.3"/>
  <pageSetup paperSize="9" orientation="portrait" verticalDpi="0" r:id="rId1"/>
  <rowBreaks count="1" manualBreakCount="1">
    <brk id="4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zoomScaleNormal="100" workbookViewId="0">
      <selection activeCell="F1" sqref="F1:G1"/>
    </sheetView>
  </sheetViews>
  <sheetFormatPr defaultRowHeight="15" x14ac:dyDescent="0.25"/>
  <cols>
    <col min="1" max="1" width="6.42578125" style="105" customWidth="1"/>
    <col min="2" max="2" width="26.85546875" customWidth="1"/>
    <col min="3" max="3" width="9.5703125" customWidth="1"/>
    <col min="4" max="4" width="12.5703125" customWidth="1"/>
    <col min="5" max="5" width="11.7109375" customWidth="1"/>
    <col min="6" max="6" width="13" customWidth="1"/>
    <col min="7" max="7" width="11.42578125" customWidth="1"/>
  </cols>
  <sheetData>
    <row r="1" spans="1:7" x14ac:dyDescent="0.25">
      <c r="F1" s="179" t="s">
        <v>330</v>
      </c>
      <c r="G1" s="179"/>
    </row>
    <row r="2" spans="1:7" x14ac:dyDescent="0.25">
      <c r="A2" s="173" t="s">
        <v>224</v>
      </c>
      <c r="B2" s="173"/>
      <c r="C2" s="173"/>
      <c r="D2" s="173"/>
      <c r="E2" s="173"/>
      <c r="F2" s="173"/>
      <c r="G2" s="173"/>
    </row>
    <row r="3" spans="1:7" x14ac:dyDescent="0.25">
      <c r="A3" s="173" t="s">
        <v>225</v>
      </c>
      <c r="B3" s="173"/>
      <c r="C3" s="173"/>
      <c r="D3" s="173"/>
      <c r="E3" s="173"/>
      <c r="F3" s="173"/>
      <c r="G3" s="173"/>
    </row>
    <row r="4" spans="1:7" x14ac:dyDescent="0.25">
      <c r="A4" s="173" t="s">
        <v>226</v>
      </c>
      <c r="B4" s="173"/>
      <c r="C4" s="173"/>
      <c r="D4" s="173"/>
      <c r="E4" s="173"/>
      <c r="F4" s="173"/>
      <c r="G4" s="173"/>
    </row>
    <row r="5" spans="1:7" x14ac:dyDescent="0.25">
      <c r="A5" s="106"/>
      <c r="B5" s="26"/>
      <c r="C5" s="26"/>
      <c r="D5" s="26"/>
      <c r="E5" s="26"/>
      <c r="F5" s="168" t="s">
        <v>227</v>
      </c>
      <c r="G5" s="168"/>
    </row>
    <row r="6" spans="1:7" x14ac:dyDescent="0.25">
      <c r="A6" s="102" t="s">
        <v>228</v>
      </c>
      <c r="B6" s="1" t="s">
        <v>0</v>
      </c>
      <c r="C6" s="1" t="s">
        <v>45</v>
      </c>
      <c r="D6" s="1" t="s">
        <v>44</v>
      </c>
      <c r="E6" s="1" t="s">
        <v>38</v>
      </c>
      <c r="F6" s="1" t="s">
        <v>39</v>
      </c>
      <c r="G6" s="100" t="s">
        <v>43</v>
      </c>
    </row>
    <row r="7" spans="1:7" x14ac:dyDescent="0.25">
      <c r="A7" s="10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18.75" customHeight="1" x14ac:dyDescent="0.25">
      <c r="A8" s="174" t="s">
        <v>229</v>
      </c>
      <c r="B8" s="175"/>
      <c r="C8" s="175"/>
      <c r="D8" s="175"/>
      <c r="E8" s="175"/>
      <c r="F8" s="175"/>
      <c r="G8" s="176"/>
    </row>
    <row r="9" spans="1:7" x14ac:dyDescent="0.25">
      <c r="A9" s="101">
        <v>1</v>
      </c>
      <c r="B9" s="101" t="s">
        <v>230</v>
      </c>
      <c r="C9" s="107">
        <v>0</v>
      </c>
      <c r="D9" s="107">
        <v>0</v>
      </c>
      <c r="E9" s="107">
        <f>8160000/100000</f>
        <v>81.599999999999994</v>
      </c>
      <c r="F9" s="107">
        <f>6120000/100000</f>
        <v>61.2</v>
      </c>
      <c r="G9" s="107">
        <v>0</v>
      </c>
    </row>
    <row r="10" spans="1:7" ht="33" customHeight="1" x14ac:dyDescent="0.25">
      <c r="A10" s="101">
        <v>2</v>
      </c>
      <c r="B10" s="101" t="s">
        <v>231</v>
      </c>
      <c r="C10" s="107">
        <v>0</v>
      </c>
      <c r="D10" s="107">
        <v>0</v>
      </c>
      <c r="E10" s="107">
        <f>62107650/100000</f>
        <v>621.07650000000001</v>
      </c>
      <c r="F10" s="107">
        <f>62107650/100000</f>
        <v>621.07650000000001</v>
      </c>
      <c r="G10" s="107">
        <v>0</v>
      </c>
    </row>
    <row r="11" spans="1:7" ht="31.5" customHeight="1" x14ac:dyDescent="0.25">
      <c r="A11" s="101">
        <v>3</v>
      </c>
      <c r="B11" s="101" t="s">
        <v>232</v>
      </c>
      <c r="C11" s="107">
        <v>0</v>
      </c>
      <c r="D11" s="107">
        <v>0</v>
      </c>
      <c r="E11" s="107">
        <f>62202650/100000</f>
        <v>622.02650000000006</v>
      </c>
      <c r="F11" s="107">
        <f>62202650/100000</f>
        <v>622.02650000000006</v>
      </c>
      <c r="G11" s="107">
        <v>0</v>
      </c>
    </row>
    <row r="12" spans="1:7" ht="18.75" customHeight="1" x14ac:dyDescent="0.25">
      <c r="A12" s="101">
        <v>4</v>
      </c>
      <c r="B12" s="101" t="s">
        <v>233</v>
      </c>
      <c r="C12" s="107">
        <v>0</v>
      </c>
      <c r="D12" s="107">
        <v>0</v>
      </c>
      <c r="E12" s="107">
        <f>13524947/100000</f>
        <v>135.24947</v>
      </c>
      <c r="F12" s="107">
        <f>13366947/100000</f>
        <v>133.66946999999999</v>
      </c>
      <c r="G12" s="107">
        <v>0</v>
      </c>
    </row>
    <row r="13" spans="1:7" ht="30.75" customHeight="1" x14ac:dyDescent="0.25">
      <c r="A13" s="101">
        <v>5</v>
      </c>
      <c r="B13" s="101" t="s">
        <v>234</v>
      </c>
      <c r="C13" s="107">
        <v>0</v>
      </c>
      <c r="D13" s="107">
        <v>0</v>
      </c>
      <c r="E13" s="107">
        <f>61929650/100000</f>
        <v>619.29650000000004</v>
      </c>
      <c r="F13" s="107">
        <v>0</v>
      </c>
      <c r="G13" s="107">
        <v>0</v>
      </c>
    </row>
    <row r="14" spans="1:7" ht="17.25" customHeight="1" x14ac:dyDescent="0.25">
      <c r="A14" s="108">
        <v>6</v>
      </c>
      <c r="B14" s="108" t="s">
        <v>235</v>
      </c>
      <c r="C14" s="107">
        <v>0</v>
      </c>
      <c r="D14" s="107">
        <v>0</v>
      </c>
      <c r="E14" s="107">
        <v>0</v>
      </c>
      <c r="F14" s="107">
        <f>158117270/100000</f>
        <v>1581.1727000000001</v>
      </c>
      <c r="G14" s="107">
        <v>0</v>
      </c>
    </row>
    <row r="15" spans="1:7" ht="17.25" customHeight="1" x14ac:dyDescent="0.25">
      <c r="A15" s="101">
        <v>7</v>
      </c>
      <c r="B15" s="101" t="s">
        <v>236</v>
      </c>
      <c r="C15" s="107">
        <v>0</v>
      </c>
      <c r="D15" s="107">
        <v>0</v>
      </c>
      <c r="E15" s="107">
        <v>0</v>
      </c>
      <c r="F15" s="107">
        <f>10200000/100000</f>
        <v>102</v>
      </c>
      <c r="G15" s="107">
        <v>0</v>
      </c>
    </row>
    <row r="16" spans="1:7" x14ac:dyDescent="0.25">
      <c r="A16" s="109">
        <v>8</v>
      </c>
      <c r="B16" s="109" t="s">
        <v>237</v>
      </c>
      <c r="C16" s="107">
        <v>0</v>
      </c>
      <c r="D16" s="107">
        <v>0</v>
      </c>
      <c r="E16" s="107">
        <v>0</v>
      </c>
      <c r="F16" s="107">
        <f>4080000/100000</f>
        <v>40.799999999999997</v>
      </c>
      <c r="G16" s="107">
        <v>0</v>
      </c>
    </row>
    <row r="17" spans="1:7" x14ac:dyDescent="0.25">
      <c r="A17" s="177" t="s">
        <v>238</v>
      </c>
      <c r="B17" s="178"/>
      <c r="C17" s="110">
        <f>SUM(C9:C16)</f>
        <v>0</v>
      </c>
      <c r="D17" s="110">
        <f>SUM(D9:D16)</f>
        <v>0</v>
      </c>
      <c r="E17" s="110">
        <f>SUM(E9:E16)</f>
        <v>2079.2489700000001</v>
      </c>
      <c r="F17" s="110">
        <f>SUM(F9:F16)</f>
        <v>3161.9451700000004</v>
      </c>
      <c r="G17" s="110">
        <f>SUM(G9:G16)</f>
        <v>0</v>
      </c>
    </row>
    <row r="18" spans="1:7" ht="12" customHeight="1" x14ac:dyDescent="0.25">
      <c r="A18" s="165" t="s">
        <v>239</v>
      </c>
      <c r="B18" s="166"/>
      <c r="C18" s="166"/>
      <c r="D18" s="166"/>
      <c r="E18" s="166"/>
      <c r="F18" s="166"/>
      <c r="G18" s="167"/>
    </row>
    <row r="19" spans="1:7" ht="35.25" customHeight="1" x14ac:dyDescent="0.25">
      <c r="A19" s="101">
        <v>1</v>
      </c>
      <c r="B19" s="101" t="s">
        <v>231</v>
      </c>
      <c r="C19" s="111">
        <v>0</v>
      </c>
      <c r="D19" s="111">
        <f>62107650/100000</f>
        <v>621.07650000000001</v>
      </c>
      <c r="E19" s="111">
        <v>0</v>
      </c>
      <c r="F19" s="111">
        <v>0</v>
      </c>
      <c r="G19" s="111">
        <v>0</v>
      </c>
    </row>
    <row r="20" spans="1:7" ht="32.25" customHeight="1" x14ac:dyDescent="0.25">
      <c r="A20" s="101">
        <v>2</v>
      </c>
      <c r="B20" s="101" t="s">
        <v>232</v>
      </c>
      <c r="C20" s="111">
        <v>0</v>
      </c>
      <c r="D20" s="111">
        <f>62202650/100000</f>
        <v>622.02650000000006</v>
      </c>
      <c r="E20" s="111">
        <v>0</v>
      </c>
      <c r="F20" s="111">
        <v>0</v>
      </c>
      <c r="G20" s="111">
        <v>0</v>
      </c>
    </row>
    <row r="21" spans="1:7" x14ac:dyDescent="0.25">
      <c r="A21" s="101">
        <v>3</v>
      </c>
      <c r="B21" s="101" t="s">
        <v>233</v>
      </c>
      <c r="C21" s="111">
        <v>0</v>
      </c>
      <c r="D21" s="111">
        <f>13524947/100000</f>
        <v>135.24947</v>
      </c>
      <c r="E21" s="111">
        <v>0</v>
      </c>
      <c r="F21" s="111">
        <v>0</v>
      </c>
      <c r="G21" s="111">
        <v>0</v>
      </c>
    </row>
    <row r="22" spans="1:7" ht="45" x14ac:dyDescent="0.25">
      <c r="A22" s="101">
        <v>4</v>
      </c>
      <c r="B22" s="108" t="s">
        <v>240</v>
      </c>
      <c r="C22" s="111">
        <v>0</v>
      </c>
      <c r="D22" s="111">
        <f>85989350/100000</f>
        <v>859.89350000000002</v>
      </c>
      <c r="E22" s="111">
        <v>0</v>
      </c>
      <c r="F22" s="111">
        <v>0</v>
      </c>
      <c r="G22" s="111">
        <v>0</v>
      </c>
    </row>
    <row r="23" spans="1:7" ht="30" x14ac:dyDescent="0.25">
      <c r="A23" s="101">
        <v>5</v>
      </c>
      <c r="B23" s="101" t="s">
        <v>241</v>
      </c>
      <c r="C23" s="111">
        <v>0</v>
      </c>
      <c r="D23" s="111">
        <f>61929650/100000</f>
        <v>619.29650000000004</v>
      </c>
      <c r="E23" s="111">
        <v>0</v>
      </c>
      <c r="F23" s="111">
        <v>0</v>
      </c>
      <c r="G23" s="111">
        <v>0</v>
      </c>
    </row>
    <row r="24" spans="1:7" x14ac:dyDescent="0.25">
      <c r="A24" s="101">
        <v>6</v>
      </c>
      <c r="B24" s="101" t="s">
        <v>230</v>
      </c>
      <c r="C24" s="111">
        <v>0</v>
      </c>
      <c r="D24" s="111">
        <f>10200000/100000</f>
        <v>102</v>
      </c>
      <c r="E24" s="111">
        <v>0</v>
      </c>
      <c r="F24" s="111">
        <v>0</v>
      </c>
      <c r="G24" s="111">
        <v>0</v>
      </c>
    </row>
    <row r="25" spans="1:7" x14ac:dyDescent="0.25">
      <c r="A25" s="101">
        <v>7</v>
      </c>
      <c r="B25" s="101" t="s">
        <v>242</v>
      </c>
      <c r="C25" s="111">
        <v>0</v>
      </c>
      <c r="D25" s="111">
        <f>12750000/100000</f>
        <v>127.5</v>
      </c>
      <c r="E25" s="111">
        <v>0</v>
      </c>
      <c r="F25" s="111">
        <v>0</v>
      </c>
      <c r="G25" s="111">
        <v>0</v>
      </c>
    </row>
    <row r="26" spans="1:7" ht="30" x14ac:dyDescent="0.25">
      <c r="A26" s="101">
        <v>8</v>
      </c>
      <c r="B26" s="101" t="s">
        <v>243</v>
      </c>
      <c r="C26" s="111">
        <v>0</v>
      </c>
      <c r="D26" s="111">
        <f>7000000/100000</f>
        <v>70</v>
      </c>
      <c r="E26" s="111">
        <v>0</v>
      </c>
      <c r="F26" s="111">
        <v>0</v>
      </c>
      <c r="G26" s="111">
        <v>0</v>
      </c>
    </row>
    <row r="27" spans="1:7" ht="45" x14ac:dyDescent="0.25">
      <c r="A27" s="101">
        <v>9</v>
      </c>
      <c r="B27" s="101" t="s">
        <v>244</v>
      </c>
      <c r="C27" s="111">
        <v>0</v>
      </c>
      <c r="D27" s="111">
        <f>29370960/100000</f>
        <v>293.70960000000002</v>
      </c>
      <c r="E27" s="111">
        <v>0</v>
      </c>
      <c r="F27" s="111">
        <v>0</v>
      </c>
      <c r="G27" s="111">
        <v>0</v>
      </c>
    </row>
    <row r="28" spans="1:7" ht="45" x14ac:dyDescent="0.25">
      <c r="A28" s="101">
        <v>10</v>
      </c>
      <c r="B28" s="101" t="s">
        <v>245</v>
      </c>
      <c r="C28" s="111">
        <v>0</v>
      </c>
      <c r="D28" s="111">
        <f>108387418/100000</f>
        <v>1083.87418</v>
      </c>
      <c r="E28" s="111">
        <v>0</v>
      </c>
      <c r="F28" s="111">
        <v>0</v>
      </c>
      <c r="G28" s="111">
        <v>0</v>
      </c>
    </row>
    <row r="29" spans="1:7" ht="30" x14ac:dyDescent="0.25">
      <c r="A29" s="101">
        <v>11</v>
      </c>
      <c r="B29" s="108" t="s">
        <v>246</v>
      </c>
      <c r="C29" s="111">
        <v>0</v>
      </c>
      <c r="D29" s="111">
        <v>0</v>
      </c>
      <c r="E29" s="111">
        <f>9180000/100000</f>
        <v>91.8</v>
      </c>
      <c r="F29" s="111">
        <v>0</v>
      </c>
      <c r="G29" s="111">
        <v>0</v>
      </c>
    </row>
    <row r="30" spans="1:7" ht="45" x14ac:dyDescent="0.25">
      <c r="A30" s="101">
        <v>12</v>
      </c>
      <c r="B30" s="108" t="s">
        <v>247</v>
      </c>
      <c r="C30" s="111">
        <v>0</v>
      </c>
      <c r="D30" s="111">
        <v>0</v>
      </c>
      <c r="E30" s="111">
        <f>15000000/100000</f>
        <v>150</v>
      </c>
      <c r="F30" s="111">
        <v>0</v>
      </c>
      <c r="G30" s="111">
        <v>0</v>
      </c>
    </row>
    <row r="31" spans="1:7" ht="30" x14ac:dyDescent="0.25">
      <c r="A31" s="101">
        <v>13</v>
      </c>
      <c r="B31" s="108" t="s">
        <v>248</v>
      </c>
      <c r="C31" s="111">
        <v>0</v>
      </c>
      <c r="D31" s="111">
        <v>0</v>
      </c>
      <c r="E31" s="111">
        <f>10200000/100000</f>
        <v>102</v>
      </c>
      <c r="F31" s="111">
        <v>0</v>
      </c>
      <c r="G31" s="111">
        <v>0</v>
      </c>
    </row>
    <row r="32" spans="1:7" ht="26.25" customHeight="1" x14ac:dyDescent="0.25">
      <c r="A32" s="101">
        <v>14</v>
      </c>
      <c r="B32" s="108" t="s">
        <v>249</v>
      </c>
      <c r="C32" s="111">
        <v>0</v>
      </c>
      <c r="D32" s="111">
        <v>0</v>
      </c>
      <c r="E32" s="111">
        <f>12750000/100000</f>
        <v>127.5</v>
      </c>
      <c r="F32" s="111">
        <v>0</v>
      </c>
      <c r="G32" s="111">
        <v>0</v>
      </c>
    </row>
    <row r="33" spans="1:7" ht="30" x14ac:dyDescent="0.25">
      <c r="A33" s="101">
        <v>15</v>
      </c>
      <c r="B33" s="108" t="s">
        <v>250</v>
      </c>
      <c r="C33" s="111">
        <v>0</v>
      </c>
      <c r="D33" s="111">
        <v>0</v>
      </c>
      <c r="E33" s="111">
        <f>1020000/100000</f>
        <v>10.199999999999999</v>
      </c>
      <c r="F33" s="111">
        <v>0</v>
      </c>
      <c r="G33" s="111">
        <v>0</v>
      </c>
    </row>
    <row r="34" spans="1:7" x14ac:dyDescent="0.25">
      <c r="A34" s="101">
        <v>16</v>
      </c>
      <c r="B34" s="108" t="s">
        <v>251</v>
      </c>
      <c r="C34" s="111">
        <v>0</v>
      </c>
      <c r="D34" s="111">
        <v>0</v>
      </c>
      <c r="E34" s="111">
        <f>918000/100000</f>
        <v>9.18</v>
      </c>
      <c r="F34" s="111">
        <v>0</v>
      </c>
      <c r="G34" s="111">
        <v>0</v>
      </c>
    </row>
    <row r="35" spans="1:7" x14ac:dyDescent="0.25">
      <c r="A35" s="101">
        <v>17</v>
      </c>
      <c r="B35" s="108" t="s">
        <v>235</v>
      </c>
      <c r="C35" s="111">
        <v>0</v>
      </c>
      <c r="D35" s="111">
        <v>0</v>
      </c>
      <c r="E35" s="111">
        <f>237175905/100000</f>
        <v>2371.7590500000001</v>
      </c>
      <c r="F35" s="111">
        <v>0</v>
      </c>
      <c r="G35" s="111">
        <v>0</v>
      </c>
    </row>
    <row r="36" spans="1:7" ht="15" customHeight="1" x14ac:dyDescent="0.25">
      <c r="A36" s="101">
        <v>18</v>
      </c>
      <c r="B36" s="108" t="s">
        <v>252</v>
      </c>
      <c r="C36" s="111">
        <v>0</v>
      </c>
      <c r="D36" s="111">
        <v>0</v>
      </c>
      <c r="E36" s="111">
        <f>15300000/100000</f>
        <v>153</v>
      </c>
      <c r="F36" s="111">
        <v>0</v>
      </c>
      <c r="G36" s="111">
        <v>0</v>
      </c>
    </row>
    <row r="37" spans="1:7" x14ac:dyDescent="0.25">
      <c r="A37" s="101">
        <v>19</v>
      </c>
      <c r="B37" s="108" t="s">
        <v>253</v>
      </c>
      <c r="C37" s="111">
        <v>0</v>
      </c>
      <c r="D37" s="111">
        <v>0</v>
      </c>
      <c r="E37" s="111">
        <f>6120000/100000</f>
        <v>61.2</v>
      </c>
      <c r="F37" s="111">
        <v>0</v>
      </c>
      <c r="G37" s="111">
        <v>0</v>
      </c>
    </row>
    <row r="38" spans="1:7" x14ac:dyDescent="0.25">
      <c r="A38" s="101">
        <v>20</v>
      </c>
      <c r="B38" s="108" t="s">
        <v>254</v>
      </c>
      <c r="C38" s="111">
        <v>0</v>
      </c>
      <c r="D38" s="111">
        <v>0</v>
      </c>
      <c r="E38" s="111">
        <f>1020000/100000</f>
        <v>10.199999999999999</v>
      </c>
      <c r="F38" s="111">
        <v>0</v>
      </c>
      <c r="G38" s="111">
        <v>0</v>
      </c>
    </row>
    <row r="39" spans="1:7" ht="45" x14ac:dyDescent="0.25">
      <c r="A39" s="101">
        <v>21</v>
      </c>
      <c r="B39" s="108" t="s">
        <v>255</v>
      </c>
      <c r="C39" s="111">
        <v>0</v>
      </c>
      <c r="D39" s="111">
        <v>0</v>
      </c>
      <c r="E39" s="111">
        <f>3448727/100000</f>
        <v>34.487270000000002</v>
      </c>
      <c r="F39" s="111">
        <v>0</v>
      </c>
      <c r="G39" s="111">
        <v>0</v>
      </c>
    </row>
    <row r="40" spans="1:7" x14ac:dyDescent="0.25">
      <c r="A40" s="101">
        <v>22</v>
      </c>
      <c r="B40" s="108" t="s">
        <v>256</v>
      </c>
      <c r="C40" s="111">
        <v>0</v>
      </c>
      <c r="D40" s="111">
        <v>0</v>
      </c>
      <c r="E40" s="111">
        <f>25500000/100000</f>
        <v>255</v>
      </c>
      <c r="F40" s="111">
        <f>51000000/100000</f>
        <v>510</v>
      </c>
      <c r="G40" s="111">
        <v>0</v>
      </c>
    </row>
    <row r="41" spans="1:7" ht="45" x14ac:dyDescent="0.25">
      <c r="A41" s="101">
        <v>23</v>
      </c>
      <c r="B41" s="108" t="s">
        <v>257</v>
      </c>
      <c r="C41" s="111">
        <v>0</v>
      </c>
      <c r="D41" s="111">
        <v>0</v>
      </c>
      <c r="E41" s="111">
        <f>1017161/100000</f>
        <v>10.171609999999999</v>
      </c>
      <c r="F41" s="111">
        <v>0</v>
      </c>
      <c r="G41" s="111">
        <v>0</v>
      </c>
    </row>
    <row r="42" spans="1:7" ht="45" x14ac:dyDescent="0.25">
      <c r="A42" s="101">
        <v>24</v>
      </c>
      <c r="B42" s="108" t="s">
        <v>258</v>
      </c>
      <c r="C42" s="111">
        <v>0</v>
      </c>
      <c r="D42" s="111">
        <v>0</v>
      </c>
      <c r="E42" s="111">
        <v>0</v>
      </c>
      <c r="F42" s="111">
        <v>0</v>
      </c>
      <c r="G42" s="111">
        <f>156465349/100000</f>
        <v>1564.6534899999999</v>
      </c>
    </row>
    <row r="43" spans="1:7" ht="45" x14ac:dyDescent="0.25">
      <c r="A43" s="101">
        <v>25</v>
      </c>
      <c r="B43" s="108" t="s">
        <v>259</v>
      </c>
      <c r="C43" s="111">
        <v>0</v>
      </c>
      <c r="D43" s="111">
        <v>0</v>
      </c>
      <c r="E43" s="111">
        <v>0</v>
      </c>
      <c r="F43" s="111">
        <v>0</v>
      </c>
      <c r="G43" s="111">
        <f>2796825/100000</f>
        <v>27.968250000000001</v>
      </c>
    </row>
    <row r="44" spans="1:7" ht="13.5" customHeight="1" x14ac:dyDescent="0.25">
      <c r="A44" s="177" t="s">
        <v>260</v>
      </c>
      <c r="B44" s="178"/>
      <c r="C44" s="112">
        <f>SUM(C19:C43)</f>
        <v>0</v>
      </c>
      <c r="D44" s="112">
        <f>SUM(D19:D43)</f>
        <v>4534.6262500000003</v>
      </c>
      <c r="E44" s="112">
        <f>SUM(E19:E43)</f>
        <v>3386.4979299999995</v>
      </c>
      <c r="F44" s="112">
        <f>SUM(F19:F43)</f>
        <v>510</v>
      </c>
      <c r="G44" s="112">
        <f>SUM(G19:G43)</f>
        <v>1592.6217399999998</v>
      </c>
    </row>
    <row r="45" spans="1:7" ht="14.25" customHeight="1" x14ac:dyDescent="0.25">
      <c r="A45" s="165" t="s">
        <v>261</v>
      </c>
      <c r="B45" s="166"/>
      <c r="C45" s="166"/>
      <c r="D45" s="166"/>
      <c r="E45" s="166"/>
      <c r="F45" s="166"/>
      <c r="G45" s="167"/>
    </row>
    <row r="46" spans="1:7" x14ac:dyDescent="0.25">
      <c r="A46" s="101">
        <v>1</v>
      </c>
      <c r="B46" s="101" t="s">
        <v>230</v>
      </c>
      <c r="C46" s="107">
        <v>0</v>
      </c>
      <c r="D46" s="107">
        <f>2040000/100000</f>
        <v>20.399999999999999</v>
      </c>
      <c r="E46" s="107">
        <f>2040000/100000</f>
        <v>20.399999999999999</v>
      </c>
      <c r="F46" s="107">
        <f>6120000/100000</f>
        <v>61.2</v>
      </c>
      <c r="G46" s="107">
        <v>0</v>
      </c>
    </row>
    <row r="47" spans="1:7" x14ac:dyDescent="0.25">
      <c r="A47" s="101">
        <v>2</v>
      </c>
      <c r="B47" s="109" t="s">
        <v>242</v>
      </c>
      <c r="C47" s="107">
        <v>0</v>
      </c>
      <c r="D47" s="107">
        <f>12750000/100000</f>
        <v>127.5</v>
      </c>
      <c r="E47" s="107">
        <v>0</v>
      </c>
      <c r="F47" s="107">
        <v>0</v>
      </c>
      <c r="G47" s="107">
        <v>0</v>
      </c>
    </row>
    <row r="48" spans="1:7" ht="30" x14ac:dyDescent="0.25">
      <c r="A48" s="101">
        <v>3</v>
      </c>
      <c r="B48" s="101" t="s">
        <v>243</v>
      </c>
      <c r="C48" s="107">
        <v>0</v>
      </c>
      <c r="D48" s="107">
        <f>7000000/100000</f>
        <v>70</v>
      </c>
      <c r="E48" s="107">
        <v>0</v>
      </c>
      <c r="F48" s="107">
        <v>0</v>
      </c>
      <c r="G48" s="107">
        <v>0</v>
      </c>
    </row>
    <row r="49" spans="1:7" ht="45" x14ac:dyDescent="0.25">
      <c r="A49" s="101">
        <v>4</v>
      </c>
      <c r="B49" s="101" t="s">
        <v>244</v>
      </c>
      <c r="C49" s="107">
        <v>0</v>
      </c>
      <c r="D49" s="107">
        <f>29370960/100000</f>
        <v>293.70960000000002</v>
      </c>
      <c r="E49" s="107">
        <v>0</v>
      </c>
      <c r="F49" s="107">
        <v>0</v>
      </c>
      <c r="G49" s="107">
        <v>0</v>
      </c>
    </row>
    <row r="50" spans="1:7" ht="45" x14ac:dyDescent="0.25">
      <c r="A50" s="101">
        <v>5</v>
      </c>
      <c r="B50" s="101" t="s">
        <v>262</v>
      </c>
      <c r="C50" s="107">
        <v>0</v>
      </c>
      <c r="D50" s="107">
        <f>108387418/100000</f>
        <v>1083.87418</v>
      </c>
      <c r="E50" s="107">
        <v>0</v>
      </c>
      <c r="F50" s="107">
        <v>0</v>
      </c>
      <c r="G50" s="107">
        <v>0</v>
      </c>
    </row>
    <row r="51" spans="1:7" ht="45" x14ac:dyDescent="0.25">
      <c r="A51" s="101">
        <v>6</v>
      </c>
      <c r="B51" s="101" t="s">
        <v>263</v>
      </c>
      <c r="C51" s="107">
        <v>0</v>
      </c>
      <c r="D51" s="107">
        <f>85989350/100000</f>
        <v>859.89350000000002</v>
      </c>
      <c r="E51" s="107">
        <v>0</v>
      </c>
      <c r="F51" s="107">
        <v>0</v>
      </c>
      <c r="G51" s="107">
        <v>0</v>
      </c>
    </row>
    <row r="52" spans="1:7" ht="30" x14ac:dyDescent="0.25">
      <c r="A52" s="101">
        <v>7</v>
      </c>
      <c r="B52" s="101" t="s">
        <v>248</v>
      </c>
      <c r="C52" s="107">
        <v>0</v>
      </c>
      <c r="D52" s="107">
        <v>0</v>
      </c>
      <c r="E52" s="107">
        <f>10200000/100000</f>
        <v>102</v>
      </c>
      <c r="F52" s="107">
        <v>0</v>
      </c>
      <c r="G52" s="107">
        <v>0</v>
      </c>
    </row>
    <row r="53" spans="1:7" ht="27" customHeight="1" x14ac:dyDescent="0.25">
      <c r="A53" s="101">
        <v>8</v>
      </c>
      <c r="B53" s="101" t="s">
        <v>249</v>
      </c>
      <c r="C53" s="107">
        <v>0</v>
      </c>
      <c r="D53" s="107">
        <v>0</v>
      </c>
      <c r="E53" s="107">
        <f>12750000/100000</f>
        <v>127.5</v>
      </c>
      <c r="F53" s="107">
        <v>0</v>
      </c>
      <c r="G53" s="107">
        <v>0</v>
      </c>
    </row>
    <row r="54" spans="1:7" x14ac:dyDescent="0.25">
      <c r="A54" s="101">
        <v>9</v>
      </c>
      <c r="B54" s="101" t="s">
        <v>235</v>
      </c>
      <c r="C54" s="107">
        <v>0</v>
      </c>
      <c r="D54" s="107">
        <v>0</v>
      </c>
      <c r="E54" s="107">
        <f>79058635/100000</f>
        <v>790.58635000000004</v>
      </c>
      <c r="F54" s="107">
        <f>158117270/100000</f>
        <v>1581.1727000000001</v>
      </c>
      <c r="G54" s="107">
        <v>0</v>
      </c>
    </row>
    <row r="55" spans="1:7" ht="30" x14ac:dyDescent="0.25">
      <c r="A55" s="101">
        <v>10</v>
      </c>
      <c r="B55" s="101" t="s">
        <v>250</v>
      </c>
      <c r="C55" s="107">
        <v>0</v>
      </c>
      <c r="D55" s="107">
        <v>0</v>
      </c>
      <c r="E55" s="107">
        <f>1020000/100000</f>
        <v>10.199999999999999</v>
      </c>
      <c r="F55" s="107">
        <v>0</v>
      </c>
      <c r="G55" s="107">
        <v>0</v>
      </c>
    </row>
    <row r="56" spans="1:7" x14ac:dyDescent="0.25">
      <c r="A56" s="101">
        <v>11</v>
      </c>
      <c r="B56" s="101" t="s">
        <v>251</v>
      </c>
      <c r="C56" s="107">
        <v>0</v>
      </c>
      <c r="D56" s="107">
        <v>0</v>
      </c>
      <c r="E56" s="107">
        <f>918000/100000</f>
        <v>9.18</v>
      </c>
      <c r="F56" s="107">
        <v>0</v>
      </c>
      <c r="G56" s="107">
        <v>0</v>
      </c>
    </row>
    <row r="57" spans="1:7" ht="30" x14ac:dyDescent="0.25">
      <c r="A57" s="101">
        <v>12</v>
      </c>
      <c r="B57" s="101" t="s">
        <v>246</v>
      </c>
      <c r="C57" s="107">
        <v>0</v>
      </c>
      <c r="D57" s="107">
        <v>0</v>
      </c>
      <c r="E57" s="107">
        <f>9180000/100000</f>
        <v>91.8</v>
      </c>
      <c r="F57" s="107">
        <v>0</v>
      </c>
      <c r="G57" s="107">
        <v>0</v>
      </c>
    </row>
    <row r="58" spans="1:7" ht="45" x14ac:dyDescent="0.25">
      <c r="A58" s="101">
        <v>13</v>
      </c>
      <c r="B58" s="101" t="s">
        <v>247</v>
      </c>
      <c r="C58" s="107">
        <v>0</v>
      </c>
      <c r="D58" s="107">
        <v>0</v>
      </c>
      <c r="E58" s="107">
        <f>15000000/100000</f>
        <v>150</v>
      </c>
      <c r="F58" s="107">
        <v>0</v>
      </c>
      <c r="G58" s="107">
        <v>0</v>
      </c>
    </row>
    <row r="59" spans="1:7" ht="45" x14ac:dyDescent="0.25">
      <c r="A59" s="101">
        <v>14</v>
      </c>
      <c r="B59" s="101" t="s">
        <v>264</v>
      </c>
      <c r="C59" s="107">
        <v>0</v>
      </c>
      <c r="D59" s="107">
        <v>0</v>
      </c>
      <c r="E59" s="107">
        <f>62087650/100000</f>
        <v>620.87649999999996</v>
      </c>
      <c r="F59" s="107">
        <v>0</v>
      </c>
      <c r="G59" s="107">
        <v>0</v>
      </c>
    </row>
    <row r="60" spans="1:7" ht="15" customHeight="1" x14ac:dyDescent="0.25">
      <c r="A60" s="101">
        <v>15</v>
      </c>
      <c r="B60" s="101" t="s">
        <v>252</v>
      </c>
      <c r="C60" s="107">
        <v>0</v>
      </c>
      <c r="D60" s="107">
        <v>0</v>
      </c>
      <c r="E60" s="107">
        <f>5100000/100000</f>
        <v>51</v>
      </c>
      <c r="F60" s="107">
        <f>10200000/100000</f>
        <v>102</v>
      </c>
      <c r="G60" s="107">
        <v>0</v>
      </c>
    </row>
    <row r="61" spans="1:7" x14ac:dyDescent="0.25">
      <c r="A61" s="101">
        <v>16</v>
      </c>
      <c r="B61" s="101" t="s">
        <v>256</v>
      </c>
      <c r="C61" s="107">
        <v>0</v>
      </c>
      <c r="D61" s="107">
        <v>0</v>
      </c>
      <c r="E61" s="107">
        <f>25500000/100000</f>
        <v>255</v>
      </c>
      <c r="F61" s="107">
        <f>51000000/100000</f>
        <v>510</v>
      </c>
      <c r="G61" s="107">
        <v>0</v>
      </c>
    </row>
    <row r="62" spans="1:7" x14ac:dyDescent="0.25">
      <c r="A62" s="101">
        <v>17</v>
      </c>
      <c r="B62" s="101" t="s">
        <v>253</v>
      </c>
      <c r="C62" s="107">
        <v>0</v>
      </c>
      <c r="D62" s="107">
        <v>0</v>
      </c>
      <c r="E62" s="107">
        <f>2040000/100000</f>
        <v>20.399999999999999</v>
      </c>
      <c r="F62" s="107">
        <f>4080000/100000</f>
        <v>40.799999999999997</v>
      </c>
      <c r="G62" s="107">
        <v>0</v>
      </c>
    </row>
    <row r="63" spans="1:7" x14ac:dyDescent="0.25">
      <c r="A63" s="101">
        <v>18</v>
      </c>
      <c r="B63" s="101" t="s">
        <v>254</v>
      </c>
      <c r="C63" s="107">
        <v>0</v>
      </c>
      <c r="D63" s="107">
        <v>0</v>
      </c>
      <c r="E63" s="107">
        <f>1020000/100000</f>
        <v>10.199999999999999</v>
      </c>
      <c r="F63" s="107">
        <v>0</v>
      </c>
      <c r="G63" s="107">
        <v>0</v>
      </c>
    </row>
    <row r="64" spans="1:7" ht="45" x14ac:dyDescent="0.25">
      <c r="A64" s="101">
        <v>19</v>
      </c>
      <c r="B64" s="101" t="s">
        <v>257</v>
      </c>
      <c r="C64" s="107">
        <v>0</v>
      </c>
      <c r="D64" s="107">
        <v>0</v>
      </c>
      <c r="E64" s="107">
        <f>1017161/100000</f>
        <v>10.171609999999999</v>
      </c>
      <c r="F64" s="107">
        <v>0</v>
      </c>
      <c r="G64" s="107">
        <v>0</v>
      </c>
    </row>
    <row r="65" spans="1:7" ht="45" x14ac:dyDescent="0.25">
      <c r="A65" s="101">
        <v>20</v>
      </c>
      <c r="B65" s="101" t="s">
        <v>255</v>
      </c>
      <c r="C65" s="107">
        <v>0</v>
      </c>
      <c r="D65" s="107">
        <v>0</v>
      </c>
      <c r="E65" s="107">
        <f>3448727/100000</f>
        <v>34.487270000000002</v>
      </c>
      <c r="F65" s="107">
        <v>0</v>
      </c>
      <c r="G65" s="107">
        <v>0</v>
      </c>
    </row>
    <row r="66" spans="1:7" ht="45" x14ac:dyDescent="0.25">
      <c r="A66" s="101">
        <v>21</v>
      </c>
      <c r="B66" s="101" t="s">
        <v>265</v>
      </c>
      <c r="C66" s="107">
        <v>0</v>
      </c>
      <c r="D66" s="107">
        <v>0</v>
      </c>
      <c r="E66" s="107">
        <v>0</v>
      </c>
      <c r="F66" s="107">
        <f>62107650/100000</f>
        <v>621.07650000000001</v>
      </c>
      <c r="G66" s="107">
        <v>0</v>
      </c>
    </row>
    <row r="67" spans="1:7" ht="45" x14ac:dyDescent="0.25">
      <c r="A67" s="101">
        <v>22</v>
      </c>
      <c r="B67" s="101" t="s">
        <v>266</v>
      </c>
      <c r="C67" s="107">
        <v>0</v>
      </c>
      <c r="D67" s="107">
        <v>0</v>
      </c>
      <c r="E67" s="107">
        <v>0</v>
      </c>
      <c r="F67" s="107">
        <f>62202650/100000</f>
        <v>622.02650000000006</v>
      </c>
      <c r="G67" s="107">
        <v>0</v>
      </c>
    </row>
    <row r="68" spans="1:7" x14ac:dyDescent="0.25">
      <c r="A68" s="101">
        <v>23</v>
      </c>
      <c r="B68" s="101" t="s">
        <v>267</v>
      </c>
      <c r="C68" s="107">
        <v>0</v>
      </c>
      <c r="D68" s="107">
        <v>0</v>
      </c>
      <c r="E68" s="107">
        <v>0</v>
      </c>
      <c r="F68" s="107">
        <f>13366947/100000</f>
        <v>133.66946999999999</v>
      </c>
      <c r="G68" s="107">
        <v>0</v>
      </c>
    </row>
    <row r="69" spans="1:7" ht="45" x14ac:dyDescent="0.25">
      <c r="A69" s="101">
        <v>24</v>
      </c>
      <c r="B69" s="108" t="s">
        <v>258</v>
      </c>
      <c r="C69" s="107">
        <v>0</v>
      </c>
      <c r="D69" s="107">
        <v>0</v>
      </c>
      <c r="E69" s="107">
        <v>0</v>
      </c>
      <c r="F69" s="107">
        <v>0</v>
      </c>
      <c r="G69" s="107">
        <f>156465349/100000</f>
        <v>1564.6534899999999</v>
      </c>
    </row>
    <row r="70" spans="1:7" ht="45" x14ac:dyDescent="0.25">
      <c r="A70" s="101">
        <v>25</v>
      </c>
      <c r="B70" s="108" t="s">
        <v>259</v>
      </c>
      <c r="C70" s="107">
        <v>0</v>
      </c>
      <c r="D70" s="107">
        <v>0</v>
      </c>
      <c r="E70" s="107">
        <v>0</v>
      </c>
      <c r="F70" s="107">
        <v>0</v>
      </c>
      <c r="G70" s="107">
        <f>2796825/100000</f>
        <v>27.968250000000001</v>
      </c>
    </row>
    <row r="71" spans="1:7" ht="15" customHeight="1" x14ac:dyDescent="0.25">
      <c r="A71" s="177" t="s">
        <v>268</v>
      </c>
      <c r="B71" s="178"/>
      <c r="C71" s="110">
        <f>SUM(C46:C70)</f>
        <v>0</v>
      </c>
      <c r="D71" s="110">
        <f>SUM(D46:D70)</f>
        <v>2455.3772800000002</v>
      </c>
      <c r="E71" s="110">
        <f>SUM(E46:E70)</f>
        <v>2303.8017300000001</v>
      </c>
      <c r="F71" s="110">
        <f>SUM(F46:F70)</f>
        <v>3671.94517</v>
      </c>
      <c r="G71" s="110">
        <f>SUM(G46:G70)</f>
        <v>1592.6217399999998</v>
      </c>
    </row>
    <row r="72" spans="1:7" ht="16.5" customHeight="1" x14ac:dyDescent="0.25">
      <c r="A72" s="165" t="s">
        <v>269</v>
      </c>
      <c r="B72" s="166"/>
      <c r="C72" s="166"/>
      <c r="D72" s="166"/>
      <c r="E72" s="166"/>
      <c r="F72" s="166"/>
      <c r="G72" s="167"/>
    </row>
    <row r="73" spans="1:7" x14ac:dyDescent="0.25">
      <c r="A73" s="109">
        <v>1</v>
      </c>
      <c r="B73" s="101" t="s">
        <v>230</v>
      </c>
      <c r="C73" s="113">
        <v>0</v>
      </c>
      <c r="D73" s="107">
        <f>8160000/100000</f>
        <v>81.599999999999994</v>
      </c>
      <c r="E73" s="107">
        <f>6120000/100000</f>
        <v>61.2</v>
      </c>
      <c r="F73" s="113">
        <v>0</v>
      </c>
      <c r="G73" s="113">
        <v>0</v>
      </c>
    </row>
    <row r="74" spans="1:7" ht="30" x14ac:dyDescent="0.25">
      <c r="A74" s="109">
        <v>2</v>
      </c>
      <c r="B74" s="101" t="s">
        <v>231</v>
      </c>
      <c r="C74" s="113">
        <v>0</v>
      </c>
      <c r="D74" s="107">
        <f>62107650/100000</f>
        <v>621.07650000000001</v>
      </c>
      <c r="E74" s="107">
        <f>62107650/100000</f>
        <v>621.07650000000001</v>
      </c>
      <c r="F74" s="113">
        <v>0</v>
      </c>
      <c r="G74" s="113">
        <v>0</v>
      </c>
    </row>
    <row r="75" spans="1:7" ht="30" x14ac:dyDescent="0.25">
      <c r="A75" s="109">
        <v>3</v>
      </c>
      <c r="B75" s="101" t="s">
        <v>232</v>
      </c>
      <c r="C75" s="113">
        <v>0</v>
      </c>
      <c r="D75" s="107">
        <f>62202650/100000</f>
        <v>622.02650000000006</v>
      </c>
      <c r="E75" s="107">
        <f>62202650/100000</f>
        <v>622.02650000000006</v>
      </c>
      <c r="F75" s="113">
        <v>0</v>
      </c>
      <c r="G75" s="113">
        <v>0</v>
      </c>
    </row>
    <row r="76" spans="1:7" x14ac:dyDescent="0.25">
      <c r="A76" s="109">
        <v>4</v>
      </c>
      <c r="B76" s="101" t="s">
        <v>233</v>
      </c>
      <c r="C76" s="113">
        <v>0</v>
      </c>
      <c r="D76" s="107">
        <f>13524947/100000</f>
        <v>135.24947</v>
      </c>
      <c r="E76" s="107">
        <f>13366947/100000</f>
        <v>133.66946999999999</v>
      </c>
      <c r="F76" s="113">
        <v>0</v>
      </c>
      <c r="G76" s="113">
        <v>0</v>
      </c>
    </row>
    <row r="77" spans="1:7" ht="30" x14ac:dyDescent="0.25">
      <c r="A77" s="109">
        <v>5</v>
      </c>
      <c r="B77" s="101" t="s">
        <v>234</v>
      </c>
      <c r="C77" s="113">
        <v>0</v>
      </c>
      <c r="D77" s="107">
        <f>61929650/100000</f>
        <v>619.29650000000004</v>
      </c>
      <c r="E77" s="107">
        <v>0</v>
      </c>
      <c r="F77" s="113">
        <v>0</v>
      </c>
      <c r="G77" s="113">
        <v>0</v>
      </c>
    </row>
    <row r="78" spans="1:7" x14ac:dyDescent="0.25">
      <c r="A78" s="109">
        <v>6</v>
      </c>
      <c r="B78" s="108" t="s">
        <v>235</v>
      </c>
      <c r="C78" s="113">
        <v>0</v>
      </c>
      <c r="D78" s="107">
        <v>0</v>
      </c>
      <c r="E78" s="107">
        <f>158117270/100000</f>
        <v>1581.1727000000001</v>
      </c>
      <c r="F78" s="113">
        <v>0</v>
      </c>
      <c r="G78" s="113">
        <v>0</v>
      </c>
    </row>
    <row r="79" spans="1:7" ht="18.75" customHeight="1" x14ac:dyDescent="0.25">
      <c r="A79" s="109">
        <v>7</v>
      </c>
      <c r="B79" s="101" t="s">
        <v>236</v>
      </c>
      <c r="C79" s="113">
        <v>0</v>
      </c>
      <c r="D79" s="107">
        <v>0</v>
      </c>
      <c r="E79" s="107">
        <f>10200000/100000</f>
        <v>102</v>
      </c>
      <c r="F79" s="113">
        <v>0</v>
      </c>
      <c r="G79" s="113">
        <v>0</v>
      </c>
    </row>
    <row r="80" spans="1:7" x14ac:dyDescent="0.25">
      <c r="A80" s="109">
        <v>8</v>
      </c>
      <c r="B80" s="109" t="s">
        <v>237</v>
      </c>
      <c r="C80" s="113">
        <v>0</v>
      </c>
      <c r="D80" s="107">
        <v>0</v>
      </c>
      <c r="E80" s="107">
        <f>4080000/100000</f>
        <v>40.799999999999997</v>
      </c>
      <c r="F80" s="113">
        <v>0</v>
      </c>
      <c r="G80" s="113">
        <v>0</v>
      </c>
    </row>
    <row r="81" spans="1:7" x14ac:dyDescent="0.25">
      <c r="A81" s="169" t="s">
        <v>270</v>
      </c>
      <c r="B81" s="170"/>
      <c r="C81" s="114">
        <f>SUM(C73:C80)</f>
        <v>0</v>
      </c>
      <c r="D81" s="114">
        <f>SUM(D73:D80)</f>
        <v>2079.2489700000001</v>
      </c>
      <c r="E81" s="114">
        <f>SUM(E73:E80)</f>
        <v>3161.9451700000004</v>
      </c>
      <c r="F81" s="114">
        <f>SUM(F73:F80)</f>
        <v>0</v>
      </c>
      <c r="G81" s="114">
        <f>SUM(G73:G80)</f>
        <v>0</v>
      </c>
    </row>
    <row r="82" spans="1:7" x14ac:dyDescent="0.25">
      <c r="A82" s="104"/>
      <c r="B82" s="4"/>
      <c r="C82" s="4"/>
      <c r="D82" s="4"/>
      <c r="E82" s="4"/>
      <c r="F82" s="4"/>
      <c r="G82" s="4"/>
    </row>
    <row r="83" spans="1:7" x14ac:dyDescent="0.25">
      <c r="A83" s="104"/>
      <c r="B83" s="4"/>
      <c r="C83" s="4"/>
      <c r="D83" s="4"/>
      <c r="E83" s="4"/>
      <c r="F83" s="4"/>
      <c r="G83" s="4"/>
    </row>
    <row r="84" spans="1:7" x14ac:dyDescent="0.25">
      <c r="A84" s="104"/>
      <c r="B84" s="4"/>
      <c r="C84" s="4"/>
      <c r="D84" s="4"/>
      <c r="E84" s="4"/>
      <c r="F84" s="4"/>
      <c r="G84" s="4"/>
    </row>
    <row r="85" spans="1:7" x14ac:dyDescent="0.25">
      <c r="A85" s="104"/>
      <c r="B85" s="4"/>
      <c r="C85" s="4"/>
      <c r="D85" s="4"/>
      <c r="E85" s="4"/>
      <c r="F85" s="4"/>
      <c r="G85" s="4"/>
    </row>
  </sheetData>
  <mergeCells count="13">
    <mergeCell ref="F1:G1"/>
    <mergeCell ref="A44:B44"/>
    <mergeCell ref="A45:G45"/>
    <mergeCell ref="A71:B71"/>
    <mergeCell ref="A72:G72"/>
    <mergeCell ref="A81:B81"/>
    <mergeCell ref="F5:G5"/>
    <mergeCell ref="A2:G2"/>
    <mergeCell ref="A3:G3"/>
    <mergeCell ref="A4:G4"/>
    <mergeCell ref="A8:G8"/>
    <mergeCell ref="A17:B17"/>
    <mergeCell ref="A18:G18"/>
  </mergeCells>
  <pageMargins left="0.5" right="0.5" top="0.5" bottom="0.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16" workbookViewId="0">
      <selection activeCell="M10" sqref="M10"/>
    </sheetView>
  </sheetViews>
  <sheetFormatPr defaultRowHeight="15" x14ac:dyDescent="0.25"/>
  <cols>
    <col min="1" max="1" width="7" customWidth="1"/>
    <col min="2" max="2" width="30" customWidth="1"/>
    <col min="3" max="3" width="9.85546875" customWidth="1"/>
  </cols>
  <sheetData>
    <row r="1" spans="1:7" x14ac:dyDescent="0.25">
      <c r="A1" s="45"/>
      <c r="B1" s="115"/>
      <c r="C1" s="4"/>
      <c r="D1" s="4"/>
      <c r="F1" s="168" t="s">
        <v>271</v>
      </c>
      <c r="G1" s="168"/>
    </row>
    <row r="2" spans="1:7" x14ac:dyDescent="0.25">
      <c r="A2" s="171" t="s">
        <v>331</v>
      </c>
      <c r="B2" s="171"/>
      <c r="C2" s="171"/>
      <c r="D2" s="171"/>
      <c r="E2" s="171"/>
      <c r="F2" s="171"/>
      <c r="G2" s="171"/>
    </row>
    <row r="3" spans="1:7" x14ac:dyDescent="0.25">
      <c r="A3" s="171" t="s">
        <v>279</v>
      </c>
      <c r="B3" s="171"/>
      <c r="C3" s="171"/>
      <c r="D3" s="171"/>
      <c r="E3" s="171"/>
      <c r="F3" s="171"/>
      <c r="G3" s="171"/>
    </row>
    <row r="4" spans="1:7" x14ac:dyDescent="0.25">
      <c r="A4" s="171" t="s">
        <v>317</v>
      </c>
      <c r="B4" s="171"/>
      <c r="C4" s="171"/>
      <c r="D4" s="171"/>
      <c r="E4" s="171"/>
      <c r="F4" s="171"/>
      <c r="G4" s="171"/>
    </row>
    <row r="5" spans="1:7" x14ac:dyDescent="0.25">
      <c r="A5" s="123"/>
      <c r="B5" s="123"/>
      <c r="C5" s="123"/>
      <c r="D5" s="123"/>
      <c r="E5" s="123"/>
      <c r="F5" s="180" t="s">
        <v>316</v>
      </c>
      <c r="G5" s="180"/>
    </row>
    <row r="6" spans="1:7" x14ac:dyDescent="0.25">
      <c r="A6" s="10" t="s">
        <v>272</v>
      </c>
      <c r="B6" s="99" t="s">
        <v>0</v>
      </c>
      <c r="C6" s="10" t="s">
        <v>45</v>
      </c>
      <c r="D6" s="10" t="s">
        <v>44</v>
      </c>
      <c r="E6" s="10" t="s">
        <v>38</v>
      </c>
      <c r="F6" s="10" t="s">
        <v>39</v>
      </c>
      <c r="G6" s="10" t="s">
        <v>43</v>
      </c>
    </row>
    <row r="7" spans="1:7" x14ac:dyDescent="0.25">
      <c r="A7" s="10">
        <v>1</v>
      </c>
      <c r="B7" s="9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x14ac:dyDescent="0.25">
      <c r="A8" s="10" t="s">
        <v>101</v>
      </c>
      <c r="B8" s="181" t="s">
        <v>273</v>
      </c>
      <c r="C8" s="181"/>
      <c r="D8" s="181"/>
      <c r="E8" s="181"/>
      <c r="F8" s="181"/>
      <c r="G8" s="181"/>
    </row>
    <row r="9" spans="1:7" x14ac:dyDescent="0.25">
      <c r="A9" s="131"/>
      <c r="B9" s="131"/>
      <c r="C9" s="136" t="s">
        <v>332</v>
      </c>
      <c r="D9" s="136" t="s">
        <v>332</v>
      </c>
      <c r="E9" s="136" t="s">
        <v>332</v>
      </c>
      <c r="F9" s="136" t="s">
        <v>332</v>
      </c>
      <c r="G9" s="136" t="s">
        <v>332</v>
      </c>
    </row>
    <row r="10" spans="1:7" x14ac:dyDescent="0.25">
      <c r="A10" s="121" t="s">
        <v>108</v>
      </c>
      <c r="B10" s="182" t="s">
        <v>274</v>
      </c>
      <c r="C10" s="182"/>
      <c r="D10" s="182"/>
      <c r="E10" s="182"/>
      <c r="F10" s="182"/>
      <c r="G10" s="182"/>
    </row>
    <row r="11" spans="1:7" x14ac:dyDescent="0.25">
      <c r="A11" s="132"/>
      <c r="B11" s="132"/>
      <c r="C11" s="132"/>
      <c r="D11" s="132"/>
      <c r="E11" s="132"/>
      <c r="F11" s="132"/>
      <c r="G11" s="132"/>
    </row>
    <row r="12" spans="1:7" s="130" customFormat="1" ht="36" customHeight="1" x14ac:dyDescent="0.25">
      <c r="A12" s="133">
        <v>1</v>
      </c>
      <c r="B12" s="133" t="s">
        <v>333</v>
      </c>
      <c r="C12" s="135" t="s">
        <v>332</v>
      </c>
      <c r="D12" s="135" t="s">
        <v>332</v>
      </c>
      <c r="E12" s="135" t="s">
        <v>332</v>
      </c>
      <c r="F12" s="135" t="s">
        <v>332</v>
      </c>
      <c r="G12" s="133">
        <v>18.66</v>
      </c>
    </row>
    <row r="13" spans="1:7" s="130" customFormat="1" ht="22.5" customHeight="1" x14ac:dyDescent="0.25">
      <c r="A13" s="133">
        <v>2</v>
      </c>
      <c r="B13" s="133" t="s">
        <v>334</v>
      </c>
      <c r="C13" s="135" t="s">
        <v>332</v>
      </c>
      <c r="D13" s="135" t="s">
        <v>332</v>
      </c>
      <c r="E13" s="135" t="s">
        <v>332</v>
      </c>
      <c r="F13" s="135" t="s">
        <v>332</v>
      </c>
      <c r="G13" s="133">
        <v>7.56</v>
      </c>
    </row>
    <row r="14" spans="1:7" s="130" customFormat="1" ht="31.5" customHeight="1" x14ac:dyDescent="0.25">
      <c r="A14" s="133">
        <v>3</v>
      </c>
      <c r="B14" s="133" t="s">
        <v>335</v>
      </c>
      <c r="C14" s="135" t="s">
        <v>332</v>
      </c>
      <c r="D14" s="135" t="s">
        <v>332</v>
      </c>
      <c r="E14" s="135" t="s">
        <v>332</v>
      </c>
      <c r="F14" s="135" t="s">
        <v>332</v>
      </c>
      <c r="G14" s="133">
        <v>4.1399999999999997</v>
      </c>
    </row>
    <row r="15" spans="1:7" s="130" customFormat="1" ht="24" customHeight="1" x14ac:dyDescent="0.25">
      <c r="A15" s="133">
        <v>4</v>
      </c>
      <c r="B15" s="133" t="s">
        <v>336</v>
      </c>
      <c r="C15" s="135" t="s">
        <v>332</v>
      </c>
      <c r="D15" s="135" t="s">
        <v>332</v>
      </c>
      <c r="E15" s="135" t="s">
        <v>332</v>
      </c>
      <c r="F15" s="135" t="s">
        <v>332</v>
      </c>
      <c r="G15" s="133">
        <v>0.45</v>
      </c>
    </row>
    <row r="16" spans="1:7" x14ac:dyDescent="0.25">
      <c r="A16" s="184" t="s">
        <v>260</v>
      </c>
      <c r="B16" s="184"/>
      <c r="C16" s="134">
        <v>0</v>
      </c>
      <c r="D16" s="134">
        <v>0</v>
      </c>
      <c r="E16" s="134">
        <v>0</v>
      </c>
      <c r="F16" s="134">
        <v>0</v>
      </c>
      <c r="G16" s="132">
        <f>SUM(G12:G15)</f>
        <v>30.81</v>
      </c>
    </row>
    <row r="17" spans="1:7" x14ac:dyDescent="0.25">
      <c r="A17" s="10" t="s">
        <v>275</v>
      </c>
      <c r="B17" s="181" t="s">
        <v>276</v>
      </c>
      <c r="C17" s="181"/>
      <c r="D17" s="181"/>
      <c r="E17" s="181"/>
      <c r="F17" s="181"/>
      <c r="G17" s="181"/>
    </row>
    <row r="18" spans="1:7" x14ac:dyDescent="0.25">
      <c r="A18" s="131"/>
      <c r="B18" s="131"/>
      <c r="C18" s="136" t="s">
        <v>332</v>
      </c>
      <c r="D18" s="136" t="s">
        <v>332</v>
      </c>
      <c r="E18" s="136" t="s">
        <v>332</v>
      </c>
      <c r="F18" s="136" t="s">
        <v>332</v>
      </c>
      <c r="G18" s="136" t="s">
        <v>332</v>
      </c>
    </row>
    <row r="19" spans="1:7" x14ac:dyDescent="0.25">
      <c r="A19" s="121" t="s">
        <v>277</v>
      </c>
      <c r="B19" s="183" t="s">
        <v>278</v>
      </c>
      <c r="C19" s="183"/>
      <c r="D19" s="183"/>
      <c r="E19" s="183"/>
      <c r="F19" s="183"/>
      <c r="G19" s="183"/>
    </row>
    <row r="20" spans="1:7" s="130" customFormat="1" ht="31.5" customHeight="1" x14ac:dyDescent="0.25">
      <c r="A20" s="133">
        <v>1</v>
      </c>
      <c r="B20" s="133" t="s">
        <v>333</v>
      </c>
      <c r="C20" s="135" t="s">
        <v>332</v>
      </c>
      <c r="D20" s="135" t="s">
        <v>332</v>
      </c>
      <c r="E20" s="135" t="s">
        <v>332</v>
      </c>
      <c r="F20" s="135" t="s">
        <v>332</v>
      </c>
      <c r="G20" s="133">
        <v>18.66</v>
      </c>
    </row>
    <row r="21" spans="1:7" s="130" customFormat="1" ht="21.75" customHeight="1" x14ac:dyDescent="0.25">
      <c r="A21" s="133">
        <v>2</v>
      </c>
      <c r="B21" s="133" t="s">
        <v>334</v>
      </c>
      <c r="C21" s="135" t="s">
        <v>332</v>
      </c>
      <c r="D21" s="135" t="s">
        <v>332</v>
      </c>
      <c r="E21" s="135" t="s">
        <v>332</v>
      </c>
      <c r="F21" s="135" t="s">
        <v>332</v>
      </c>
      <c r="G21" s="133">
        <v>7.56</v>
      </c>
    </row>
    <row r="22" spans="1:7" s="130" customFormat="1" ht="33.75" customHeight="1" x14ac:dyDescent="0.25">
      <c r="A22" s="133">
        <v>3</v>
      </c>
      <c r="B22" s="133" t="s">
        <v>335</v>
      </c>
      <c r="C22" s="135" t="s">
        <v>332</v>
      </c>
      <c r="D22" s="135" t="s">
        <v>332</v>
      </c>
      <c r="E22" s="135" t="s">
        <v>332</v>
      </c>
      <c r="F22" s="135" t="s">
        <v>332</v>
      </c>
      <c r="G22" s="133">
        <v>4.1399999999999997</v>
      </c>
    </row>
    <row r="23" spans="1:7" s="130" customFormat="1" ht="21" customHeight="1" x14ac:dyDescent="0.25">
      <c r="A23" s="133">
        <v>4</v>
      </c>
      <c r="B23" s="133" t="s">
        <v>336</v>
      </c>
      <c r="C23" s="135" t="s">
        <v>332</v>
      </c>
      <c r="D23" s="135" t="s">
        <v>332</v>
      </c>
      <c r="E23" s="135" t="s">
        <v>332</v>
      </c>
      <c r="F23" s="135" t="s">
        <v>332</v>
      </c>
      <c r="G23" s="133">
        <v>0.45</v>
      </c>
    </row>
    <row r="24" spans="1:7" x14ac:dyDescent="0.25">
      <c r="A24" s="184" t="s">
        <v>337</v>
      </c>
      <c r="B24" s="184"/>
      <c r="C24" s="134">
        <v>0</v>
      </c>
      <c r="D24" s="134">
        <v>0</v>
      </c>
      <c r="E24" s="134">
        <v>0</v>
      </c>
      <c r="F24" s="134">
        <v>0</v>
      </c>
      <c r="G24" s="132">
        <f>SUM(G20:G23)</f>
        <v>30.81</v>
      </c>
    </row>
  </sheetData>
  <mergeCells count="11">
    <mergeCell ref="B10:G10"/>
    <mergeCell ref="B17:G17"/>
    <mergeCell ref="B19:G19"/>
    <mergeCell ref="A24:B24"/>
    <mergeCell ref="A16:B16"/>
    <mergeCell ref="F1:G1"/>
    <mergeCell ref="A3:G3"/>
    <mergeCell ref="A4:G4"/>
    <mergeCell ref="F5:G5"/>
    <mergeCell ref="B8:G8"/>
    <mergeCell ref="A2:G2"/>
  </mergeCells>
  <pageMargins left="0.5" right="0.5" top="0.5" bottom="0.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4"/>
  <sheetViews>
    <sheetView topLeftCell="A46" workbookViewId="0">
      <selection activeCell="I59" sqref="I59"/>
    </sheetView>
  </sheetViews>
  <sheetFormatPr defaultRowHeight="15" x14ac:dyDescent="0.25"/>
  <cols>
    <col min="1" max="1" width="2.5703125" customWidth="1"/>
    <col min="2" max="2" width="22.85546875" customWidth="1"/>
    <col min="3" max="3" width="11" customWidth="1"/>
    <col min="4" max="4" width="11.5703125" customWidth="1"/>
    <col min="5" max="5" width="10.42578125" customWidth="1"/>
    <col min="6" max="6" width="12.42578125" customWidth="1"/>
    <col min="7" max="7" width="10.42578125" customWidth="1"/>
  </cols>
  <sheetData>
    <row r="1" spans="2:7" ht="15.75" thickBot="1" x14ac:dyDescent="0.3"/>
    <row r="2" spans="2:7" ht="19.5" thickBot="1" x14ac:dyDescent="0.3">
      <c r="B2" s="190" t="s">
        <v>190</v>
      </c>
      <c r="C2" s="191"/>
      <c r="D2" s="191"/>
      <c r="E2" s="191"/>
      <c r="F2" s="191"/>
      <c r="G2" s="192"/>
    </row>
    <row r="3" spans="2:7" ht="18.75" x14ac:dyDescent="0.25">
      <c r="B3" s="92"/>
      <c r="C3" s="92"/>
      <c r="D3" s="92"/>
      <c r="E3" s="92"/>
      <c r="F3" s="92"/>
      <c r="G3" s="92"/>
    </row>
    <row r="4" spans="2:7" x14ac:dyDescent="0.25">
      <c r="B4" s="93"/>
      <c r="C4" s="93"/>
      <c r="D4" s="93"/>
      <c r="E4" s="93"/>
      <c r="F4" s="193" t="s">
        <v>191</v>
      </c>
      <c r="G4" s="193"/>
    </row>
    <row r="5" spans="2:7" x14ac:dyDescent="0.25">
      <c r="B5" s="93"/>
      <c r="C5" s="93"/>
      <c r="D5" s="93"/>
      <c r="E5" s="93"/>
      <c r="F5" s="93"/>
      <c r="G5" s="93"/>
    </row>
    <row r="6" spans="2:7" ht="33.75" customHeight="1" x14ac:dyDescent="0.25">
      <c r="B6" s="194" t="s">
        <v>192</v>
      </c>
      <c r="C6" s="194"/>
      <c r="D6" s="194"/>
      <c r="E6" s="194"/>
      <c r="F6" s="194"/>
      <c r="G6" s="194"/>
    </row>
    <row r="7" spans="2:7" x14ac:dyDescent="0.25">
      <c r="B7" s="195"/>
      <c r="C7" s="195"/>
      <c r="D7" s="195"/>
      <c r="E7" s="195"/>
      <c r="F7" s="195"/>
      <c r="G7" s="195"/>
    </row>
    <row r="8" spans="2:7" x14ac:dyDescent="0.25">
      <c r="B8" s="57" t="s">
        <v>193</v>
      </c>
      <c r="C8" s="141" t="s">
        <v>194</v>
      </c>
      <c r="D8" s="196"/>
      <c r="E8" s="196"/>
      <c r="F8" s="196"/>
      <c r="G8" s="142"/>
    </row>
    <row r="9" spans="2:7" x14ac:dyDescent="0.25">
      <c r="B9" s="94"/>
      <c r="C9" s="94" t="s">
        <v>45</v>
      </c>
      <c r="D9" s="94" t="s">
        <v>44</v>
      </c>
      <c r="E9" s="94" t="s">
        <v>38</v>
      </c>
      <c r="F9" s="94" t="s">
        <v>39</v>
      </c>
      <c r="G9" s="94" t="s">
        <v>43</v>
      </c>
    </row>
    <row r="10" spans="2:7" x14ac:dyDescent="0.25">
      <c r="B10" s="94"/>
      <c r="C10" s="95"/>
      <c r="D10" s="95"/>
      <c r="E10" s="95"/>
      <c r="F10" s="95"/>
      <c r="G10" s="95"/>
    </row>
    <row r="11" spans="2:7" x14ac:dyDescent="0.25">
      <c r="B11" s="94" t="s">
        <v>1</v>
      </c>
      <c r="C11" s="95">
        <v>10273.89</v>
      </c>
      <c r="D11" s="95">
        <v>10930.51</v>
      </c>
      <c r="E11" s="95">
        <v>9744.4</v>
      </c>
      <c r="F11" s="95">
        <v>11206.62</v>
      </c>
      <c r="G11" s="95">
        <v>11090.79</v>
      </c>
    </row>
    <row r="12" spans="2:7" x14ac:dyDescent="0.25">
      <c r="B12" s="94" t="s">
        <v>2</v>
      </c>
      <c r="C12" s="95">
        <v>4746.66</v>
      </c>
      <c r="D12" s="95">
        <v>5319.54</v>
      </c>
      <c r="E12" s="95">
        <v>5284.59</v>
      </c>
      <c r="F12" s="95">
        <v>5946.03</v>
      </c>
      <c r="G12" s="95">
        <v>7191.84</v>
      </c>
    </row>
    <row r="13" spans="2:7" x14ac:dyDescent="0.25">
      <c r="B13" s="94" t="s">
        <v>3</v>
      </c>
      <c r="C13" s="95">
        <v>9873.2999999999993</v>
      </c>
      <c r="D13" s="95">
        <v>9730.8700000000008</v>
      </c>
      <c r="E13" s="95">
        <v>8682.1</v>
      </c>
      <c r="F13" s="95">
        <v>12767.4</v>
      </c>
      <c r="G13" s="95">
        <v>9505.2800000000007</v>
      </c>
    </row>
    <row r="14" spans="2:7" x14ac:dyDescent="0.25">
      <c r="B14" s="94" t="s">
        <v>4</v>
      </c>
      <c r="C14" s="95">
        <v>15626.27</v>
      </c>
      <c r="D14" s="95">
        <v>15529.21</v>
      </c>
      <c r="E14" s="95">
        <v>12877.05</v>
      </c>
      <c r="F14" s="95">
        <v>15540.4</v>
      </c>
      <c r="G14" s="95">
        <v>11309.7</v>
      </c>
    </row>
    <row r="15" spans="2:7" x14ac:dyDescent="0.25">
      <c r="B15" s="94" t="s">
        <v>195</v>
      </c>
      <c r="C15" s="95">
        <v>6555.45</v>
      </c>
      <c r="D15" s="95">
        <v>4975.66</v>
      </c>
      <c r="E15" s="95">
        <v>4183.49</v>
      </c>
      <c r="F15" s="95">
        <v>7082.6</v>
      </c>
      <c r="G15" s="95">
        <v>5254.3</v>
      </c>
    </row>
    <row r="16" spans="2:7" x14ac:dyDescent="0.25">
      <c r="B16" s="94" t="s">
        <v>196</v>
      </c>
      <c r="C16" s="95">
        <v>0</v>
      </c>
      <c r="D16" s="95">
        <v>0</v>
      </c>
      <c r="E16" s="95">
        <v>0</v>
      </c>
      <c r="F16" s="95">
        <v>730.08</v>
      </c>
      <c r="G16" s="95">
        <v>1919.93</v>
      </c>
    </row>
    <row r="17" spans="2:7" x14ac:dyDescent="0.25">
      <c r="B17" s="94" t="s">
        <v>197</v>
      </c>
      <c r="C17" s="95">
        <v>0</v>
      </c>
      <c r="D17" s="95">
        <v>0</v>
      </c>
      <c r="E17" s="95">
        <v>8.33</v>
      </c>
      <c r="F17" s="95">
        <v>72.95</v>
      </c>
      <c r="G17" s="95">
        <v>35.200000000000003</v>
      </c>
    </row>
    <row r="18" spans="2:7" x14ac:dyDescent="0.25">
      <c r="B18" s="94"/>
      <c r="C18" s="95"/>
      <c r="D18" s="95"/>
      <c r="E18" s="95"/>
      <c r="F18" s="95"/>
      <c r="G18" s="95"/>
    </row>
    <row r="19" spans="2:7" x14ac:dyDescent="0.25">
      <c r="B19" s="96" t="s">
        <v>143</v>
      </c>
      <c r="C19" s="97">
        <f>SUM(C11:C18)</f>
        <v>47075.569999999992</v>
      </c>
      <c r="D19" s="97">
        <f>SUM(D11:D18)</f>
        <v>46485.789999999994</v>
      </c>
      <c r="E19" s="97">
        <f>SUM(E11:E18)</f>
        <v>40779.96</v>
      </c>
      <c r="F19" s="97">
        <f>SUM(F11:F18)</f>
        <v>53346.080000000002</v>
      </c>
      <c r="G19" s="97">
        <f>SUM(G11:G18)</f>
        <v>46307.040000000001</v>
      </c>
    </row>
    <row r="20" spans="2:7" x14ac:dyDescent="0.25">
      <c r="B20" s="93"/>
      <c r="C20" s="93"/>
      <c r="D20" s="93"/>
      <c r="E20" s="93"/>
      <c r="F20" s="93"/>
      <c r="G20" s="93"/>
    </row>
    <row r="21" spans="2:7" ht="15.75" x14ac:dyDescent="0.25">
      <c r="B21" s="189" t="s">
        <v>198</v>
      </c>
      <c r="C21" s="189"/>
      <c r="D21" s="189"/>
      <c r="E21" s="189"/>
      <c r="F21" s="189"/>
      <c r="G21" s="189"/>
    </row>
    <row r="22" spans="2:7" x14ac:dyDescent="0.25">
      <c r="B22" s="185"/>
      <c r="C22" s="185"/>
      <c r="D22" s="185"/>
      <c r="E22" s="185"/>
      <c r="F22" s="185"/>
      <c r="G22" s="185"/>
    </row>
    <row r="23" spans="2:7" x14ac:dyDescent="0.25">
      <c r="B23" s="57" t="s">
        <v>199</v>
      </c>
      <c r="C23" s="188" t="s">
        <v>194</v>
      </c>
      <c r="D23" s="188"/>
      <c r="E23" s="188"/>
      <c r="F23" s="188"/>
      <c r="G23" s="188"/>
    </row>
    <row r="24" spans="2:7" x14ac:dyDescent="0.25">
      <c r="B24" s="18"/>
      <c r="C24" s="18" t="s">
        <v>45</v>
      </c>
      <c r="D24" s="18" t="s">
        <v>44</v>
      </c>
      <c r="E24" s="18" t="s">
        <v>38</v>
      </c>
      <c r="F24" s="18" t="s">
        <v>39</v>
      </c>
      <c r="G24" s="18" t="s">
        <v>43</v>
      </c>
    </row>
    <row r="25" spans="2:7" x14ac:dyDescent="0.25">
      <c r="B25" s="18"/>
      <c r="C25" s="18"/>
      <c r="D25" s="18"/>
      <c r="E25" s="18"/>
      <c r="F25" s="18"/>
      <c r="G25" s="18"/>
    </row>
    <row r="26" spans="2:7" x14ac:dyDescent="0.25">
      <c r="B26" s="18" t="s">
        <v>200</v>
      </c>
      <c r="C26" s="18">
        <v>18528.96</v>
      </c>
      <c r="D26" s="18">
        <v>14976.72</v>
      </c>
      <c r="E26" s="18">
        <v>16113.19</v>
      </c>
      <c r="F26" s="18">
        <v>15916.87</v>
      </c>
      <c r="G26" s="18">
        <v>27647.65</v>
      </c>
    </row>
    <row r="27" spans="2:7" x14ac:dyDescent="0.25">
      <c r="B27" s="18" t="s">
        <v>201</v>
      </c>
      <c r="C27" s="18">
        <v>23709.61</v>
      </c>
      <c r="D27" s="18">
        <v>28111.08</v>
      </c>
      <c r="E27" s="18">
        <v>25844.35</v>
      </c>
      <c r="F27" s="18">
        <v>23831.89</v>
      </c>
      <c r="G27" s="18">
        <v>17722.87</v>
      </c>
    </row>
    <row r="28" spans="2:7" x14ac:dyDescent="0.25">
      <c r="B28" s="18" t="s">
        <v>202</v>
      </c>
      <c r="C28" s="18">
        <v>5597.71</v>
      </c>
      <c r="D28" s="18">
        <v>2057.37</v>
      </c>
      <c r="E28" s="18">
        <v>1872.18</v>
      </c>
      <c r="F28" s="18">
        <v>13334.11</v>
      </c>
      <c r="G28" s="18">
        <v>936.52</v>
      </c>
    </row>
    <row r="29" spans="2:7" x14ac:dyDescent="0.25">
      <c r="B29" s="18" t="s">
        <v>203</v>
      </c>
      <c r="C29" s="17">
        <v>-760.71</v>
      </c>
      <c r="D29" s="18">
        <v>1340.62</v>
      </c>
      <c r="E29" s="17">
        <v>-3049.76</v>
      </c>
      <c r="F29" s="18">
        <v>263.20999999999998</v>
      </c>
      <c r="G29" s="18">
        <v>0</v>
      </c>
    </row>
    <row r="30" spans="2:7" x14ac:dyDescent="0.25">
      <c r="B30" s="18"/>
      <c r="C30" s="18"/>
      <c r="D30" s="18"/>
      <c r="E30" s="18"/>
      <c r="F30" s="18"/>
      <c r="G30" s="18"/>
    </row>
    <row r="31" spans="2:7" x14ac:dyDescent="0.25">
      <c r="B31" s="98" t="s">
        <v>143</v>
      </c>
      <c r="C31" s="98">
        <f>SUM(C26:C30)</f>
        <v>47075.57</v>
      </c>
      <c r="D31" s="98">
        <f>SUM(D26:D30)</f>
        <v>46485.790000000008</v>
      </c>
      <c r="E31" s="98">
        <f>SUM(E26:E30)</f>
        <v>40779.96</v>
      </c>
      <c r="F31" s="98">
        <f>SUM(F26:F30)</f>
        <v>53346.080000000002</v>
      </c>
      <c r="G31" s="98">
        <f>SUM(G26:G30)</f>
        <v>46307.040000000001</v>
      </c>
    </row>
    <row r="32" spans="2:7" x14ac:dyDescent="0.25">
      <c r="B32" s="93"/>
      <c r="C32" s="93"/>
      <c r="D32" s="93"/>
      <c r="E32" s="93"/>
      <c r="F32" s="93"/>
      <c r="G32" s="93"/>
    </row>
    <row r="33" spans="2:7" ht="15.75" x14ac:dyDescent="0.25">
      <c r="B33" s="189" t="s">
        <v>204</v>
      </c>
      <c r="C33" s="189"/>
      <c r="D33" s="189"/>
      <c r="E33" s="189"/>
      <c r="F33" s="189"/>
      <c r="G33" s="189"/>
    </row>
    <row r="34" spans="2:7" x14ac:dyDescent="0.25">
      <c r="B34" s="185"/>
      <c r="C34" s="185"/>
      <c r="D34" s="185"/>
      <c r="E34" s="185"/>
      <c r="F34" s="185"/>
      <c r="G34" s="185"/>
    </row>
    <row r="35" spans="2:7" x14ac:dyDescent="0.25">
      <c r="B35" s="57" t="s">
        <v>205</v>
      </c>
      <c r="C35" s="56" t="s">
        <v>45</v>
      </c>
      <c r="D35" s="56" t="s">
        <v>44</v>
      </c>
      <c r="E35" s="56" t="s">
        <v>38</v>
      </c>
      <c r="F35" s="56" t="s">
        <v>39</v>
      </c>
      <c r="G35" s="56" t="s">
        <v>43</v>
      </c>
    </row>
    <row r="36" spans="2:7" x14ac:dyDescent="0.25">
      <c r="B36" s="57" t="s">
        <v>206</v>
      </c>
      <c r="C36" s="59">
        <v>109696.72</v>
      </c>
      <c r="D36" s="59">
        <v>112971.3</v>
      </c>
      <c r="E36" s="59">
        <v>113813.81</v>
      </c>
      <c r="F36" s="59">
        <v>129817.77</v>
      </c>
      <c r="G36" s="59">
        <v>106079.28</v>
      </c>
    </row>
    <row r="37" spans="2:7" x14ac:dyDescent="0.25">
      <c r="B37" s="186"/>
      <c r="C37" s="186"/>
      <c r="D37" s="186"/>
      <c r="E37" s="186"/>
      <c r="F37" s="186"/>
      <c r="G37" s="186"/>
    </row>
    <row r="38" spans="2:7" ht="15.75" x14ac:dyDescent="0.25">
      <c r="B38" s="189" t="s">
        <v>207</v>
      </c>
      <c r="C38" s="189"/>
      <c r="D38" s="189"/>
      <c r="E38" s="189"/>
      <c r="F38" s="189"/>
      <c r="G38" s="189"/>
    </row>
    <row r="39" spans="2:7" x14ac:dyDescent="0.25">
      <c r="B39" s="185"/>
      <c r="C39" s="185"/>
      <c r="D39" s="185"/>
      <c r="E39" s="185"/>
      <c r="F39" s="185"/>
      <c r="G39" s="185"/>
    </row>
    <row r="40" spans="2:7" x14ac:dyDescent="0.25">
      <c r="B40" s="57" t="s">
        <v>205</v>
      </c>
      <c r="C40" s="56" t="s">
        <v>45</v>
      </c>
      <c r="D40" s="56" t="s">
        <v>44</v>
      </c>
      <c r="E40" s="56" t="s">
        <v>38</v>
      </c>
      <c r="F40" s="56" t="s">
        <v>39</v>
      </c>
      <c r="G40" s="56" t="s">
        <v>43</v>
      </c>
    </row>
    <row r="41" spans="2:7" x14ac:dyDescent="0.25">
      <c r="B41" s="57" t="s">
        <v>208</v>
      </c>
      <c r="C41" s="59">
        <f>C36-C19</f>
        <v>62621.150000000009</v>
      </c>
      <c r="D41" s="59">
        <f>D36-D19</f>
        <v>66485.510000000009</v>
      </c>
      <c r="E41" s="59">
        <f>E36-E19</f>
        <v>73033.850000000006</v>
      </c>
      <c r="F41" s="59">
        <f>F36-F19</f>
        <v>76471.69</v>
      </c>
      <c r="G41" s="59">
        <f>G36-G19</f>
        <v>59772.24</v>
      </c>
    </row>
    <row r="42" spans="2:7" x14ac:dyDescent="0.25">
      <c r="B42" s="186"/>
      <c r="C42" s="186"/>
      <c r="D42" s="186"/>
      <c r="E42" s="186"/>
      <c r="F42" s="186"/>
      <c r="G42" s="186"/>
    </row>
    <row r="43" spans="2:7" ht="15.75" x14ac:dyDescent="0.25">
      <c r="B43" s="187" t="s">
        <v>209</v>
      </c>
      <c r="C43" s="187"/>
      <c r="D43" s="187"/>
      <c r="E43" s="187"/>
      <c r="F43" s="187"/>
      <c r="G43" s="187"/>
    </row>
    <row r="44" spans="2:7" x14ac:dyDescent="0.25">
      <c r="B44" s="185"/>
      <c r="C44" s="185"/>
      <c r="D44" s="185"/>
      <c r="E44" s="185"/>
      <c r="F44" s="185"/>
      <c r="G44" s="185"/>
    </row>
    <row r="45" spans="2:7" x14ac:dyDescent="0.25">
      <c r="B45" s="57" t="s">
        <v>199</v>
      </c>
      <c r="C45" s="188" t="s">
        <v>194</v>
      </c>
      <c r="D45" s="188"/>
      <c r="E45" s="188"/>
      <c r="F45" s="188"/>
      <c r="G45" s="188"/>
    </row>
    <row r="46" spans="2:7" x14ac:dyDescent="0.25">
      <c r="B46" s="18"/>
      <c r="C46" s="18" t="s">
        <v>45</v>
      </c>
      <c r="D46" s="18" t="s">
        <v>44</v>
      </c>
      <c r="E46" s="18" t="s">
        <v>38</v>
      </c>
      <c r="F46" s="18" t="s">
        <v>39</v>
      </c>
      <c r="G46" s="18" t="s">
        <v>43</v>
      </c>
    </row>
    <row r="47" spans="2:7" x14ac:dyDescent="0.25">
      <c r="B47" s="18"/>
      <c r="C47" s="18"/>
      <c r="D47" s="18"/>
      <c r="E47" s="18"/>
      <c r="F47" s="18"/>
      <c r="G47" s="18"/>
    </row>
    <row r="48" spans="2:7" x14ac:dyDescent="0.25">
      <c r="B48" s="18" t="s">
        <v>210</v>
      </c>
      <c r="C48" s="18">
        <v>46737.87</v>
      </c>
      <c r="D48" s="18">
        <v>53012.31</v>
      </c>
      <c r="E48" s="18">
        <v>58055.47</v>
      </c>
      <c r="F48" s="18">
        <v>62955.03</v>
      </c>
      <c r="G48" s="18">
        <v>40742.17</v>
      </c>
    </row>
    <row r="49" spans="2:7" x14ac:dyDescent="0.25">
      <c r="B49" s="18" t="s">
        <v>211</v>
      </c>
      <c r="C49" s="18">
        <v>694.41</v>
      </c>
      <c r="D49" s="18">
        <v>271.06</v>
      </c>
      <c r="E49" s="18">
        <v>340.57</v>
      </c>
      <c r="F49" s="18">
        <v>1633.82</v>
      </c>
      <c r="G49" s="18">
        <v>2991.39</v>
      </c>
    </row>
    <row r="50" spans="2:7" x14ac:dyDescent="0.25">
      <c r="B50" s="18" t="s">
        <v>135</v>
      </c>
      <c r="C50" s="18">
        <v>15188.87</v>
      </c>
      <c r="D50" s="18">
        <v>13202.14</v>
      </c>
      <c r="E50" s="18">
        <v>14637.81</v>
      </c>
      <c r="F50" s="18">
        <v>11882.84</v>
      </c>
      <c r="G50" s="18">
        <v>16038.68</v>
      </c>
    </row>
    <row r="51" spans="2:7" ht="9.75" customHeight="1" x14ac:dyDescent="0.25">
      <c r="B51" s="18"/>
      <c r="C51" s="18"/>
      <c r="D51" s="18"/>
      <c r="E51" s="18"/>
      <c r="F51" s="18"/>
      <c r="G51" s="18"/>
    </row>
    <row r="52" spans="2:7" x14ac:dyDescent="0.25">
      <c r="B52" s="98" t="s">
        <v>143</v>
      </c>
      <c r="C52" s="98">
        <f>SUM(C48:C51)</f>
        <v>62621.150000000009</v>
      </c>
      <c r="D52" s="98">
        <f>SUM(D48:D51)</f>
        <v>66485.509999999995</v>
      </c>
      <c r="E52" s="98">
        <f>SUM(E48:E51)</f>
        <v>73033.850000000006</v>
      </c>
      <c r="F52" s="98">
        <f>SUM(F48:F51)</f>
        <v>76471.69</v>
      </c>
      <c r="G52" s="98">
        <f>SUM(G48:G51)</f>
        <v>59772.24</v>
      </c>
    </row>
    <row r="54" spans="2:7" x14ac:dyDescent="0.25">
      <c r="C54" s="2"/>
      <c r="D54" s="2"/>
      <c r="E54" s="2"/>
      <c r="F54" s="2"/>
      <c r="G54" s="2"/>
    </row>
  </sheetData>
  <mergeCells count="17">
    <mergeCell ref="B38:G38"/>
    <mergeCell ref="B2:G2"/>
    <mergeCell ref="F4:G4"/>
    <mergeCell ref="B6:G6"/>
    <mergeCell ref="B7:G7"/>
    <mergeCell ref="C8:G8"/>
    <mergeCell ref="B21:G21"/>
    <mergeCell ref="B22:G22"/>
    <mergeCell ref="C23:G23"/>
    <mergeCell ref="B33:G33"/>
    <mergeCell ref="B34:G34"/>
    <mergeCell ref="B37:G37"/>
    <mergeCell ref="B39:G39"/>
    <mergeCell ref="B42:G42"/>
    <mergeCell ref="B43:G43"/>
    <mergeCell ref="B44:G44"/>
    <mergeCell ref="C45:G45"/>
  </mergeCells>
  <pageMargins left="0.7" right="0.7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zoomScaleNormal="100" workbookViewId="0">
      <selection activeCell="N14" sqref="N14"/>
    </sheetView>
  </sheetViews>
  <sheetFormatPr defaultRowHeight="15" x14ac:dyDescent="0.25"/>
  <cols>
    <col min="1" max="1" width="5.42578125" style="4" customWidth="1"/>
    <col min="2" max="2" width="37" style="4" customWidth="1"/>
    <col min="3" max="5" width="10.140625" style="4" customWidth="1"/>
    <col min="6" max="6" width="9.5703125" style="4" customWidth="1"/>
    <col min="7" max="7" width="10.140625" style="4" customWidth="1"/>
    <col min="8" max="16384" width="9.140625" style="4"/>
  </cols>
  <sheetData>
    <row r="1" spans="1:13" x14ac:dyDescent="0.25">
      <c r="F1" s="137" t="s">
        <v>212</v>
      </c>
      <c r="G1" s="137"/>
    </row>
    <row r="2" spans="1:13" x14ac:dyDescent="0.25">
      <c r="A2" s="138" t="s">
        <v>138</v>
      </c>
      <c r="B2" s="138"/>
      <c r="C2" s="138"/>
      <c r="D2" s="138"/>
      <c r="E2" s="138"/>
      <c r="F2" s="138"/>
      <c r="G2" s="138"/>
    </row>
    <row r="3" spans="1:13" x14ac:dyDescent="0.25">
      <c r="A3" s="138" t="s">
        <v>215</v>
      </c>
      <c r="B3" s="138"/>
      <c r="C3" s="138"/>
      <c r="D3" s="138"/>
      <c r="E3" s="138"/>
      <c r="F3" s="138"/>
      <c r="G3" s="138"/>
    </row>
    <row r="4" spans="1:13" x14ac:dyDescent="0.25">
      <c r="A4" s="138" t="s">
        <v>217</v>
      </c>
      <c r="B4" s="138"/>
      <c r="C4" s="138"/>
      <c r="D4" s="138"/>
      <c r="E4" s="138"/>
      <c r="F4" s="138"/>
      <c r="G4" s="138"/>
    </row>
    <row r="5" spans="1:13" x14ac:dyDescent="0.25">
      <c r="G5" s="30" t="s">
        <v>96</v>
      </c>
    </row>
    <row r="6" spans="1:13" x14ac:dyDescent="0.25">
      <c r="A6" s="1" t="s">
        <v>37</v>
      </c>
      <c r="B6" s="1" t="s">
        <v>0</v>
      </c>
      <c r="C6" s="1" t="s">
        <v>45</v>
      </c>
      <c r="D6" s="1" t="s">
        <v>44</v>
      </c>
      <c r="E6" s="1" t="s">
        <v>38</v>
      </c>
      <c r="F6" s="1" t="s">
        <v>39</v>
      </c>
      <c r="G6" s="1" t="s">
        <v>43</v>
      </c>
    </row>
    <row r="7" spans="1:13" x14ac:dyDescent="0.25">
      <c r="A7" s="5">
        <v>1</v>
      </c>
      <c r="B7" s="5" t="s">
        <v>6</v>
      </c>
      <c r="C7" s="5"/>
      <c r="D7" s="5"/>
      <c r="E7" s="5"/>
      <c r="F7" s="16"/>
      <c r="G7" s="5"/>
    </row>
    <row r="8" spans="1:13" x14ac:dyDescent="0.25">
      <c r="A8" s="5">
        <v>2</v>
      </c>
      <c r="B8" s="5" t="s">
        <v>7</v>
      </c>
      <c r="C8" s="16"/>
      <c r="D8" s="16"/>
      <c r="E8" s="16"/>
      <c r="F8" s="16"/>
      <c r="G8" s="16"/>
    </row>
    <row r="9" spans="1:13" x14ac:dyDescent="0.25">
      <c r="A9" s="5">
        <v>2.1</v>
      </c>
      <c r="B9" s="5" t="s">
        <v>161</v>
      </c>
      <c r="C9" s="16">
        <v>3.11</v>
      </c>
      <c r="D9" s="16">
        <v>60.68</v>
      </c>
      <c r="E9" s="16">
        <v>0.23</v>
      </c>
      <c r="F9" s="16">
        <v>13.85</v>
      </c>
      <c r="G9" s="16">
        <v>51.5</v>
      </c>
    </row>
    <row r="10" spans="1:13" x14ac:dyDescent="0.25">
      <c r="A10" s="5">
        <v>2.2000000000000002</v>
      </c>
      <c r="B10" s="5" t="s">
        <v>162</v>
      </c>
      <c r="C10" s="16">
        <v>100.82</v>
      </c>
      <c r="D10" s="16">
        <v>137.91999999999999</v>
      </c>
      <c r="E10" s="16">
        <v>138.44</v>
      </c>
      <c r="F10" s="16">
        <v>364.01</v>
      </c>
      <c r="G10" s="16">
        <v>191.86</v>
      </c>
      <c r="I10" s="83"/>
      <c r="J10" s="83"/>
      <c r="K10" s="83"/>
      <c r="L10" s="83"/>
      <c r="M10" s="83"/>
    </row>
    <row r="11" spans="1:13" x14ac:dyDescent="0.25">
      <c r="A11" s="5"/>
      <c r="B11" s="5" t="s">
        <v>163</v>
      </c>
      <c r="C11" s="16">
        <v>103.93</v>
      </c>
      <c r="D11" s="16">
        <v>198.6</v>
      </c>
      <c r="E11" s="16">
        <v>138.66999999999999</v>
      </c>
      <c r="F11" s="16">
        <v>377.86</v>
      </c>
      <c r="G11" s="16">
        <v>243.36</v>
      </c>
      <c r="I11" s="83"/>
      <c r="J11" s="83"/>
      <c r="K11" s="83"/>
      <c r="L11" s="83"/>
      <c r="M11" s="83"/>
    </row>
    <row r="12" spans="1:13" x14ac:dyDescent="0.25">
      <c r="A12" s="5">
        <v>3</v>
      </c>
      <c r="B12" s="5" t="s">
        <v>8</v>
      </c>
      <c r="C12" s="16">
        <v>73.596490000000003</v>
      </c>
      <c r="D12" s="16">
        <v>93.827650000000006</v>
      </c>
      <c r="E12" s="16">
        <v>87.23</v>
      </c>
      <c r="F12" s="16">
        <v>103.03</v>
      </c>
      <c r="G12" s="16">
        <v>94.31</v>
      </c>
      <c r="I12" s="6"/>
      <c r="J12" s="6"/>
      <c r="K12" s="6"/>
      <c r="L12" s="6"/>
      <c r="M12" s="6"/>
    </row>
    <row r="13" spans="1:13" x14ac:dyDescent="0.25">
      <c r="A13" s="5">
        <v>4</v>
      </c>
      <c r="B13" s="5" t="s">
        <v>164</v>
      </c>
      <c r="C13" s="31">
        <v>1003.84036</v>
      </c>
      <c r="D13" s="31">
        <v>1086.6021000000001</v>
      </c>
      <c r="E13" s="31">
        <v>975.87498000000005</v>
      </c>
      <c r="F13" s="31">
        <v>1008.47</v>
      </c>
      <c r="G13" s="31">
        <v>1186.5</v>
      </c>
    </row>
    <row r="14" spans="1:13" x14ac:dyDescent="0.25">
      <c r="A14" s="5">
        <v>5</v>
      </c>
      <c r="B14" s="1" t="s">
        <v>21</v>
      </c>
      <c r="C14" s="18"/>
      <c r="D14" s="18"/>
      <c r="E14" s="18"/>
      <c r="F14" s="18"/>
      <c r="G14" s="18"/>
    </row>
    <row r="15" spans="1:13" x14ac:dyDescent="0.25">
      <c r="A15" s="5">
        <v>5.0999999999999996</v>
      </c>
      <c r="B15" s="5" t="s">
        <v>12</v>
      </c>
      <c r="C15" s="16">
        <v>1.944</v>
      </c>
      <c r="D15" s="16">
        <v>1.94</v>
      </c>
      <c r="E15" s="18">
        <v>2.17</v>
      </c>
      <c r="F15" s="18">
        <v>2.5299999999999998</v>
      </c>
      <c r="G15" s="16">
        <v>2.46</v>
      </c>
    </row>
    <row r="16" spans="1:13" x14ac:dyDescent="0.25">
      <c r="A16" s="5">
        <v>5.2</v>
      </c>
      <c r="B16" s="5" t="s">
        <v>13</v>
      </c>
      <c r="C16" s="18">
        <v>9.83</v>
      </c>
      <c r="D16" s="18">
        <v>27.73</v>
      </c>
      <c r="E16" s="18">
        <v>51.65</v>
      </c>
      <c r="F16" s="18">
        <v>55.38</v>
      </c>
      <c r="G16" s="18">
        <v>65.98</v>
      </c>
    </row>
    <row r="17" spans="1:7" x14ac:dyDescent="0.25">
      <c r="A17" s="5">
        <v>5.3</v>
      </c>
      <c r="B17" s="5" t="s">
        <v>14</v>
      </c>
      <c r="C17" s="16">
        <v>15.36112</v>
      </c>
      <c r="D17" s="16">
        <v>16.34</v>
      </c>
      <c r="E17" s="16">
        <v>27.39</v>
      </c>
      <c r="F17" s="16">
        <v>28.4</v>
      </c>
      <c r="G17" s="16">
        <v>23.52</v>
      </c>
    </row>
    <row r="18" spans="1:7" x14ac:dyDescent="0.25">
      <c r="A18" s="5">
        <v>5.4</v>
      </c>
      <c r="B18" s="5" t="s">
        <v>15</v>
      </c>
      <c r="C18" s="17">
        <v>0.92886999999999997</v>
      </c>
      <c r="D18" s="17">
        <v>2.92</v>
      </c>
      <c r="E18" s="17">
        <v>2.0499999999999998</v>
      </c>
      <c r="F18" s="17">
        <v>2.3003399999999998</v>
      </c>
      <c r="G18" s="17">
        <v>1.57</v>
      </c>
    </row>
    <row r="19" spans="1:7" x14ac:dyDescent="0.25">
      <c r="A19" s="5">
        <v>5.5</v>
      </c>
      <c r="B19" s="5" t="s">
        <v>16</v>
      </c>
      <c r="C19" s="16"/>
      <c r="D19" s="16">
        <v>0.1</v>
      </c>
      <c r="E19" s="18">
        <v>1.24</v>
      </c>
      <c r="F19" s="16">
        <v>38.81</v>
      </c>
      <c r="G19" s="16"/>
    </row>
    <row r="20" spans="1:7" x14ac:dyDescent="0.25">
      <c r="A20" s="5">
        <v>5.6</v>
      </c>
      <c r="B20" s="5" t="s">
        <v>18</v>
      </c>
      <c r="C20" s="18"/>
      <c r="D20" s="18"/>
      <c r="E20" s="18"/>
      <c r="F20" s="18"/>
      <c r="G20" s="16"/>
    </row>
    <row r="21" spans="1:7" x14ac:dyDescent="0.25">
      <c r="A21" s="5">
        <v>5.7</v>
      </c>
      <c r="B21" s="5" t="s">
        <v>41</v>
      </c>
      <c r="C21" s="16"/>
      <c r="D21" s="16">
        <v>1.02</v>
      </c>
      <c r="E21" s="16"/>
      <c r="F21" s="16"/>
      <c r="G21" s="16"/>
    </row>
    <row r="22" spans="1:7" x14ac:dyDescent="0.25">
      <c r="A22" s="1"/>
      <c r="B22" s="1" t="s">
        <v>20</v>
      </c>
      <c r="C22" s="11">
        <f>SUM(C15:C21)</f>
        <v>28.06399</v>
      </c>
      <c r="D22" s="11">
        <f t="shared" ref="D22:G22" si="0">SUM(D15:D21)</f>
        <v>50.050000000000011</v>
      </c>
      <c r="E22" s="11">
        <f t="shared" si="0"/>
        <v>84.5</v>
      </c>
      <c r="F22" s="11">
        <f t="shared" si="0"/>
        <v>127.42034000000001</v>
      </c>
      <c r="G22" s="11">
        <f t="shared" si="0"/>
        <v>93.529999999999987</v>
      </c>
    </row>
    <row r="23" spans="1:7" x14ac:dyDescent="0.25">
      <c r="A23" s="5">
        <v>6</v>
      </c>
      <c r="B23" s="1" t="s">
        <v>22</v>
      </c>
      <c r="C23" s="5"/>
      <c r="D23" s="5"/>
      <c r="E23" s="5"/>
      <c r="F23" s="5"/>
      <c r="G23" s="5"/>
    </row>
    <row r="24" spans="1:7" x14ac:dyDescent="0.25">
      <c r="A24" s="5">
        <v>6.1</v>
      </c>
      <c r="B24" s="5" t="s">
        <v>23</v>
      </c>
      <c r="C24" s="8">
        <v>2454.2600000000002</v>
      </c>
      <c r="D24" s="8">
        <v>2416.8599999999997</v>
      </c>
      <c r="E24" s="8">
        <v>2602.0699999999997</v>
      </c>
      <c r="F24" s="8">
        <v>2646.56</v>
      </c>
      <c r="G24" s="8">
        <v>4390.7700000000004</v>
      </c>
    </row>
    <row r="25" spans="1:7" x14ac:dyDescent="0.25">
      <c r="A25" s="5">
        <v>6.2</v>
      </c>
      <c r="B25" s="5" t="s">
        <v>24</v>
      </c>
      <c r="C25" s="8">
        <f>+C91</f>
        <v>236.40604999999999</v>
      </c>
      <c r="D25" s="8">
        <f t="shared" ref="D25:G25" si="1">+D91</f>
        <v>285.30000000000007</v>
      </c>
      <c r="E25" s="8">
        <f t="shared" si="1"/>
        <v>387.24</v>
      </c>
      <c r="F25" s="8">
        <f t="shared" si="1"/>
        <v>335.57770999999991</v>
      </c>
      <c r="G25" s="8">
        <f t="shared" si="1"/>
        <v>378.93000000000012</v>
      </c>
    </row>
    <row r="26" spans="1:7" x14ac:dyDescent="0.25">
      <c r="A26" s="5">
        <v>6.3</v>
      </c>
      <c r="B26" s="5" t="s">
        <v>25</v>
      </c>
      <c r="C26" s="5"/>
      <c r="D26" s="5"/>
      <c r="E26" s="5"/>
      <c r="F26" s="5"/>
      <c r="G26" s="5"/>
    </row>
    <row r="27" spans="1:7" x14ac:dyDescent="0.25">
      <c r="A27" s="5">
        <v>6.4</v>
      </c>
      <c r="B27" s="5" t="s">
        <v>26</v>
      </c>
      <c r="C27" s="5"/>
      <c r="D27" s="5"/>
      <c r="E27" s="5"/>
      <c r="F27" s="5"/>
      <c r="G27" s="5"/>
    </row>
    <row r="28" spans="1:7" x14ac:dyDescent="0.25">
      <c r="A28" s="5">
        <v>6.5</v>
      </c>
      <c r="B28" s="5" t="s">
        <v>27</v>
      </c>
      <c r="C28" s="5"/>
      <c r="D28" s="5"/>
      <c r="E28" s="5"/>
      <c r="F28" s="5"/>
      <c r="G28" s="5">
        <v>1.54</v>
      </c>
    </row>
    <row r="29" spans="1:7" x14ac:dyDescent="0.25">
      <c r="A29" s="5">
        <v>6.6</v>
      </c>
      <c r="B29" s="5" t="s">
        <v>42</v>
      </c>
      <c r="C29" s="8">
        <v>123.47</v>
      </c>
      <c r="D29" s="8">
        <v>83.52</v>
      </c>
      <c r="E29" s="8">
        <v>171.22</v>
      </c>
      <c r="F29" s="8">
        <v>177.68</v>
      </c>
      <c r="G29" s="8">
        <v>86.58</v>
      </c>
    </row>
    <row r="30" spans="1:7" x14ac:dyDescent="0.25">
      <c r="A30" s="1"/>
      <c r="B30" s="1" t="s">
        <v>28</v>
      </c>
      <c r="C30" s="8">
        <f>SUM(C24:C29)</f>
        <v>2814.1360500000001</v>
      </c>
      <c r="D30" s="8">
        <f t="shared" ref="D30:G30" si="2">SUM(D24:D29)</f>
        <v>2785.68</v>
      </c>
      <c r="E30" s="8">
        <f t="shared" si="2"/>
        <v>3160.5299999999993</v>
      </c>
      <c r="F30" s="8">
        <f t="shared" si="2"/>
        <v>3159.8177099999998</v>
      </c>
      <c r="G30" s="8">
        <f t="shared" si="2"/>
        <v>4857.8200000000006</v>
      </c>
    </row>
    <row r="31" spans="1:7" x14ac:dyDescent="0.25">
      <c r="A31" s="5">
        <v>7</v>
      </c>
      <c r="B31" s="5" t="s">
        <v>165</v>
      </c>
      <c r="C31" s="19">
        <v>0.95</v>
      </c>
      <c r="D31" s="19">
        <v>1.37283</v>
      </c>
      <c r="E31" s="19">
        <v>39.04</v>
      </c>
      <c r="F31" s="19">
        <v>1.1499900000000001</v>
      </c>
      <c r="G31" s="19">
        <v>0.35</v>
      </c>
    </row>
    <row r="32" spans="1:7" x14ac:dyDescent="0.25">
      <c r="A32" s="5">
        <v>8</v>
      </c>
      <c r="B32" s="5" t="s">
        <v>29</v>
      </c>
      <c r="C32" s="8"/>
      <c r="D32" s="8"/>
      <c r="E32" s="8"/>
      <c r="F32" s="8"/>
      <c r="G32" s="8"/>
    </row>
    <row r="33" spans="1:7" ht="21.75" customHeight="1" x14ac:dyDescent="0.25">
      <c r="A33" s="5">
        <v>9</v>
      </c>
      <c r="B33" s="5" t="s">
        <v>167</v>
      </c>
      <c r="C33" s="8">
        <v>338.31</v>
      </c>
      <c r="D33" s="8">
        <v>546.09</v>
      </c>
      <c r="E33" s="8">
        <v>386.71</v>
      </c>
      <c r="F33" s="8">
        <v>251.09</v>
      </c>
      <c r="G33" s="8">
        <f>101.75+0.01</f>
        <v>101.76</v>
      </c>
    </row>
    <row r="34" spans="1:7" ht="21.75" customHeight="1" x14ac:dyDescent="0.25">
      <c r="A34" s="5">
        <v>10</v>
      </c>
      <c r="B34" s="5" t="s">
        <v>32</v>
      </c>
      <c r="C34" s="8">
        <f>+C75</f>
        <v>383.82652000000002</v>
      </c>
      <c r="D34" s="8">
        <f t="shared" ref="D34:G34" si="3">+D75</f>
        <v>557.32132000000001</v>
      </c>
      <c r="E34" s="8">
        <f t="shared" si="3"/>
        <v>412.03518149242643</v>
      </c>
      <c r="F34" s="8">
        <f t="shared" si="3"/>
        <v>917.18711099999973</v>
      </c>
      <c r="G34" s="8">
        <f t="shared" si="3"/>
        <v>614.2136499999998</v>
      </c>
    </row>
    <row r="35" spans="1:7" ht="21.75" customHeight="1" x14ac:dyDescent="0.25">
      <c r="A35" s="1">
        <v>11</v>
      </c>
      <c r="B35" s="1" t="s">
        <v>168</v>
      </c>
      <c r="C35" s="11">
        <f>+C7+C11+C12+C13+C22+C30+C31+C32+C33+C34+0.01</f>
        <v>4746.6634100000001</v>
      </c>
      <c r="D35" s="11">
        <f t="shared" ref="D35:G35" si="4">+D7+D11+D12+D13+D22+D30+D31+D32+D33+D34</f>
        <v>5319.5439000000006</v>
      </c>
      <c r="E35" s="11">
        <f t="shared" si="4"/>
        <v>5284.5901614924251</v>
      </c>
      <c r="F35" s="11">
        <f t="shared" si="4"/>
        <v>5946.0251509999998</v>
      </c>
      <c r="G35" s="11">
        <f t="shared" si="4"/>
        <v>7191.8436500000007</v>
      </c>
    </row>
    <row r="36" spans="1:7" ht="21.75" customHeight="1" x14ac:dyDescent="0.25">
      <c r="A36" s="5">
        <v>12</v>
      </c>
      <c r="B36" s="5" t="s">
        <v>34</v>
      </c>
      <c r="C36" s="8">
        <v>4.45</v>
      </c>
      <c r="D36" s="5">
        <v>85.18</v>
      </c>
      <c r="E36" s="8">
        <f>14.62+4.28</f>
        <v>18.899999999999999</v>
      </c>
      <c r="F36" s="5">
        <v>3.34</v>
      </c>
      <c r="G36" s="5">
        <v>2.25</v>
      </c>
    </row>
    <row r="37" spans="1:7" ht="21.75" customHeight="1" x14ac:dyDescent="0.25">
      <c r="A37" s="5">
        <v>13</v>
      </c>
      <c r="B37" s="5" t="s">
        <v>35</v>
      </c>
      <c r="C37" s="8">
        <f>+C35-C36</f>
        <v>4742.2134100000003</v>
      </c>
      <c r="D37" s="8">
        <f t="shared" ref="D37:G37" si="5">+D35-D36</f>
        <v>5234.3639000000003</v>
      </c>
      <c r="E37" s="8">
        <f t="shared" si="5"/>
        <v>5265.6901614924254</v>
      </c>
      <c r="F37" s="8">
        <f t="shared" si="5"/>
        <v>5942.6851509999997</v>
      </c>
      <c r="G37" s="8">
        <f t="shared" si="5"/>
        <v>7189.5936500000007</v>
      </c>
    </row>
    <row r="38" spans="1:7" ht="48" customHeight="1" x14ac:dyDescent="0.25">
      <c r="A38" s="5">
        <v>14</v>
      </c>
      <c r="B38" s="9" t="s">
        <v>36</v>
      </c>
      <c r="C38" s="9"/>
      <c r="D38" s="9"/>
      <c r="E38" s="9"/>
      <c r="F38" s="9"/>
      <c r="G38" s="9"/>
    </row>
    <row r="39" spans="1:7" ht="21.75" customHeight="1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77" t="s">
        <v>158</v>
      </c>
      <c r="F40" s="6"/>
    </row>
    <row r="41" spans="1:7" ht="45" x14ac:dyDescent="0.25">
      <c r="A41" s="73"/>
      <c r="B41" s="74" t="s">
        <v>160</v>
      </c>
      <c r="C41" s="75"/>
      <c r="D41" s="75"/>
      <c r="E41" s="75"/>
      <c r="F41" s="76"/>
      <c r="G41" s="52">
        <v>203.54</v>
      </c>
    </row>
    <row r="42" spans="1:7" x14ac:dyDescent="0.25">
      <c r="A42" s="85"/>
      <c r="B42" s="86"/>
      <c r="C42" s="26"/>
      <c r="D42" s="26"/>
      <c r="E42" s="26"/>
      <c r="F42" s="15"/>
      <c r="G42" s="26"/>
    </row>
    <row r="43" spans="1:7" x14ac:dyDescent="0.25">
      <c r="A43" s="143" t="s">
        <v>46</v>
      </c>
      <c r="B43" s="143"/>
      <c r="C43" s="143"/>
      <c r="D43" s="143"/>
      <c r="E43" s="143"/>
      <c r="F43" s="143"/>
      <c r="G43" s="143"/>
    </row>
    <row r="44" spans="1:7" x14ac:dyDescent="0.25">
      <c r="A44" s="5" t="s">
        <v>37</v>
      </c>
      <c r="B44" s="57" t="s">
        <v>0</v>
      </c>
      <c r="C44" s="1" t="s">
        <v>45</v>
      </c>
      <c r="D44" s="1" t="s">
        <v>44</v>
      </c>
      <c r="E44" s="1" t="s">
        <v>38</v>
      </c>
      <c r="F44" s="1" t="s">
        <v>39</v>
      </c>
      <c r="G44" s="1" t="s">
        <v>43</v>
      </c>
    </row>
    <row r="45" spans="1:7" x14ac:dyDescent="0.25">
      <c r="A45" s="5">
        <v>1</v>
      </c>
      <c r="B45" s="5" t="s">
        <v>47</v>
      </c>
      <c r="C45" s="8">
        <v>1.8240099999999999</v>
      </c>
      <c r="D45" s="8">
        <v>1.42</v>
      </c>
      <c r="E45" s="5"/>
      <c r="F45" s="8">
        <v>1.68</v>
      </c>
      <c r="G45" s="8">
        <v>3.46</v>
      </c>
    </row>
    <row r="46" spans="1:7" x14ac:dyDescent="0.25">
      <c r="A46" s="5">
        <v>2</v>
      </c>
      <c r="B46" s="5" t="s">
        <v>50</v>
      </c>
      <c r="C46" s="8">
        <v>16.699760000000001</v>
      </c>
      <c r="D46" s="8">
        <v>19.2</v>
      </c>
      <c r="E46" s="8">
        <v>48.12</v>
      </c>
      <c r="F46" s="8">
        <v>15.526479999999999</v>
      </c>
      <c r="G46" s="8">
        <v>14.11</v>
      </c>
    </row>
    <row r="47" spans="1:7" x14ac:dyDescent="0.25">
      <c r="A47" s="5">
        <v>3</v>
      </c>
      <c r="B47" s="5" t="s">
        <v>48</v>
      </c>
      <c r="C47" s="8">
        <v>178.26712000000001</v>
      </c>
      <c r="D47" s="8">
        <v>9.17</v>
      </c>
      <c r="E47" s="8">
        <v>0</v>
      </c>
      <c r="F47" s="5"/>
      <c r="G47" s="5"/>
    </row>
    <row r="48" spans="1:7" x14ac:dyDescent="0.25">
      <c r="A48" s="5">
        <v>4</v>
      </c>
      <c r="B48" s="5" t="s">
        <v>49</v>
      </c>
      <c r="C48" s="8">
        <v>0</v>
      </c>
      <c r="D48" s="5"/>
      <c r="E48" s="5"/>
      <c r="F48" s="8">
        <v>398.21</v>
      </c>
      <c r="G48" s="5">
        <v>22.26</v>
      </c>
    </row>
    <row r="49" spans="1:7" x14ac:dyDescent="0.25">
      <c r="A49" s="5">
        <v>5</v>
      </c>
      <c r="B49" s="5" t="s">
        <v>92</v>
      </c>
      <c r="C49" s="8">
        <v>42.3</v>
      </c>
      <c r="D49" s="8">
        <v>52.24</v>
      </c>
      <c r="E49" s="8">
        <v>19.809999999999999</v>
      </c>
      <c r="F49" s="12">
        <v>37.507440000000003</v>
      </c>
      <c r="G49" s="5"/>
    </row>
    <row r="50" spans="1:7" x14ac:dyDescent="0.25">
      <c r="A50" s="5">
        <v>6</v>
      </c>
      <c r="B50" s="5" t="s">
        <v>52</v>
      </c>
      <c r="C50" s="8">
        <v>0.40773999999999999</v>
      </c>
      <c r="D50" s="8">
        <v>0.82</v>
      </c>
      <c r="E50" s="5">
        <v>0.85</v>
      </c>
      <c r="F50" s="12">
        <v>0.63946000000000003</v>
      </c>
      <c r="G50" s="8">
        <v>0.27</v>
      </c>
    </row>
    <row r="51" spans="1:7" x14ac:dyDescent="0.25">
      <c r="A51" s="5">
        <v>7</v>
      </c>
      <c r="B51" s="5" t="s">
        <v>53</v>
      </c>
      <c r="C51" s="8">
        <v>0</v>
      </c>
      <c r="D51" s="5"/>
      <c r="E51" s="8"/>
      <c r="F51" s="8">
        <v>3.17</v>
      </c>
      <c r="G51" s="5">
        <v>33.669999999999995</v>
      </c>
    </row>
    <row r="52" spans="1:7" x14ac:dyDescent="0.25">
      <c r="A52" s="5">
        <v>8</v>
      </c>
      <c r="B52" s="5" t="s">
        <v>54</v>
      </c>
      <c r="C52" s="8">
        <v>0.123</v>
      </c>
      <c r="D52" s="8">
        <v>0.13</v>
      </c>
      <c r="E52" s="8">
        <v>0.05</v>
      </c>
      <c r="F52" s="5">
        <v>12.41</v>
      </c>
      <c r="G52" s="12"/>
    </row>
    <row r="53" spans="1:7" x14ac:dyDescent="0.25">
      <c r="A53" s="5">
        <v>9</v>
      </c>
      <c r="B53" s="5" t="s">
        <v>67</v>
      </c>
      <c r="C53" s="8">
        <v>0</v>
      </c>
      <c r="D53" s="8">
        <v>3.22</v>
      </c>
      <c r="E53" s="8">
        <v>5.96</v>
      </c>
      <c r="F53" s="5"/>
      <c r="G53" s="12">
        <v>27.41</v>
      </c>
    </row>
    <row r="54" spans="1:7" x14ac:dyDescent="0.25">
      <c r="A54" s="5">
        <v>10</v>
      </c>
      <c r="B54" s="5" t="s">
        <v>66</v>
      </c>
      <c r="C54" s="8">
        <v>0</v>
      </c>
      <c r="D54" s="5"/>
      <c r="E54" s="5"/>
      <c r="F54" s="5"/>
      <c r="G54" s="8">
        <v>94.67</v>
      </c>
    </row>
    <row r="55" spans="1:7" x14ac:dyDescent="0.25">
      <c r="A55" s="5">
        <v>11</v>
      </c>
      <c r="B55" s="13" t="s">
        <v>81</v>
      </c>
      <c r="C55" s="8">
        <v>54.541980000000002</v>
      </c>
      <c r="D55" s="8">
        <v>81</v>
      </c>
      <c r="E55" s="8">
        <v>63.93</v>
      </c>
      <c r="F55" s="8">
        <v>24.3</v>
      </c>
      <c r="G55" s="8">
        <v>31.95</v>
      </c>
    </row>
    <row r="56" spans="1:7" x14ac:dyDescent="0.25">
      <c r="A56" s="5">
        <v>12</v>
      </c>
      <c r="B56" s="13" t="s">
        <v>82</v>
      </c>
      <c r="C56" s="8">
        <v>7.47</v>
      </c>
      <c r="D56" s="8">
        <v>26.97</v>
      </c>
      <c r="E56" s="5">
        <v>2.46</v>
      </c>
      <c r="F56" s="5"/>
      <c r="G56" s="8">
        <v>46.37</v>
      </c>
    </row>
    <row r="57" spans="1:7" x14ac:dyDescent="0.25">
      <c r="A57" s="5">
        <v>13</v>
      </c>
      <c r="B57" s="13" t="s">
        <v>83</v>
      </c>
      <c r="C57" s="8">
        <v>0.94500000000000006</v>
      </c>
      <c r="D57" s="8">
        <v>3.03</v>
      </c>
      <c r="E57" s="5"/>
      <c r="F57" s="5"/>
      <c r="G57" s="5"/>
    </row>
    <row r="58" spans="1:7" x14ac:dyDescent="0.25">
      <c r="A58" s="5">
        <v>14</v>
      </c>
      <c r="B58" s="5" t="s">
        <v>84</v>
      </c>
      <c r="C58" s="8">
        <v>5.12</v>
      </c>
      <c r="D58" s="8">
        <v>8.25</v>
      </c>
      <c r="E58" s="8">
        <v>4.7699999999999996</v>
      </c>
      <c r="F58" s="5">
        <v>3.55</v>
      </c>
      <c r="G58" s="8">
        <v>2.67</v>
      </c>
    </row>
    <row r="59" spans="1:7" x14ac:dyDescent="0.25">
      <c r="A59" s="5">
        <v>15</v>
      </c>
      <c r="B59" s="5" t="s">
        <v>85</v>
      </c>
      <c r="C59" s="8">
        <v>51.077950000000001</v>
      </c>
      <c r="D59" s="8">
        <v>35.71</v>
      </c>
      <c r="E59" s="8">
        <v>120.44</v>
      </c>
      <c r="F59" s="8">
        <v>113.14</v>
      </c>
      <c r="G59" s="12">
        <v>60.02</v>
      </c>
    </row>
    <row r="60" spans="1:7" x14ac:dyDescent="0.25">
      <c r="A60" s="5">
        <v>16</v>
      </c>
      <c r="B60" s="5" t="s">
        <v>89</v>
      </c>
      <c r="C60" s="5"/>
      <c r="D60" s="8"/>
      <c r="E60" s="5"/>
      <c r="F60" s="5">
        <v>80.569999999999993</v>
      </c>
      <c r="G60" s="5">
        <v>5.44</v>
      </c>
    </row>
    <row r="61" spans="1:7" x14ac:dyDescent="0.25">
      <c r="A61" s="5">
        <v>17</v>
      </c>
      <c r="B61" s="5" t="s">
        <v>69</v>
      </c>
      <c r="C61" s="8">
        <v>98.872990000000001</v>
      </c>
      <c r="D61" s="8">
        <v>111.06</v>
      </c>
      <c r="E61" s="8">
        <v>103.51</v>
      </c>
      <c r="F61" s="5">
        <v>92.74</v>
      </c>
      <c r="G61" s="8">
        <v>92.13</v>
      </c>
    </row>
    <row r="62" spans="1:7" x14ac:dyDescent="0.25">
      <c r="A62" s="5">
        <v>18</v>
      </c>
      <c r="B62" s="5" t="s">
        <v>68</v>
      </c>
      <c r="C62" s="8">
        <v>1.7777700000000001</v>
      </c>
      <c r="D62" s="8">
        <v>1.1399999999999999</v>
      </c>
      <c r="E62" s="8">
        <v>1.52</v>
      </c>
      <c r="F62" s="8">
        <v>1.8773599999999999</v>
      </c>
      <c r="G62" s="8">
        <v>2.57</v>
      </c>
    </row>
    <row r="63" spans="1:7" x14ac:dyDescent="0.25">
      <c r="A63" s="5">
        <v>19</v>
      </c>
      <c r="B63" s="5" t="s">
        <v>55</v>
      </c>
      <c r="C63" s="8">
        <v>0.10506</v>
      </c>
      <c r="D63" s="8">
        <v>0.1</v>
      </c>
      <c r="E63" s="8">
        <v>0.11</v>
      </c>
      <c r="F63" s="12">
        <v>0.16803000000000001</v>
      </c>
      <c r="G63" s="8">
        <v>0.15365000000000001</v>
      </c>
    </row>
    <row r="64" spans="1:7" x14ac:dyDescent="0.25">
      <c r="A64" s="5">
        <v>20</v>
      </c>
      <c r="B64" s="5" t="s">
        <v>56</v>
      </c>
      <c r="C64" s="8">
        <v>0.26900000000000002</v>
      </c>
      <c r="D64" s="8">
        <v>0.32</v>
      </c>
      <c r="E64" s="8">
        <v>0.2</v>
      </c>
      <c r="F64" s="8">
        <v>0.41799999999999998</v>
      </c>
      <c r="G64" s="12">
        <v>0.77</v>
      </c>
    </row>
    <row r="65" spans="1:7" x14ac:dyDescent="0.25">
      <c r="A65" s="5">
        <v>21</v>
      </c>
      <c r="B65" s="5" t="s">
        <v>58</v>
      </c>
      <c r="C65" s="8">
        <v>0.11025</v>
      </c>
      <c r="D65" s="8">
        <v>7.9409999999999994E-2</v>
      </c>
      <c r="E65" s="8">
        <v>0.11</v>
      </c>
      <c r="F65" s="8">
        <v>0.133441</v>
      </c>
      <c r="G65" s="8">
        <v>0.1</v>
      </c>
    </row>
    <row r="66" spans="1:7" x14ac:dyDescent="0.25">
      <c r="A66" s="5">
        <v>22</v>
      </c>
      <c r="B66" s="5" t="s">
        <v>59</v>
      </c>
      <c r="C66" s="8">
        <v>91.251769999999993</v>
      </c>
      <c r="D66" s="8">
        <v>97.8</v>
      </c>
      <c r="E66" s="8">
        <v>99.73</v>
      </c>
      <c r="F66" s="12">
        <v>125.77</v>
      </c>
      <c r="G66" s="8">
        <v>147.66999999999999</v>
      </c>
    </row>
    <row r="67" spans="1:7" x14ac:dyDescent="0.25">
      <c r="A67" s="5">
        <v>23</v>
      </c>
      <c r="B67" s="5" t="s">
        <v>70</v>
      </c>
      <c r="C67" s="8">
        <v>0.01</v>
      </c>
      <c r="D67" s="8">
        <v>0.78</v>
      </c>
      <c r="E67" s="8">
        <v>0.2</v>
      </c>
      <c r="F67" s="8">
        <v>0</v>
      </c>
      <c r="G67" s="8">
        <v>0.71</v>
      </c>
    </row>
    <row r="68" spans="1:7" x14ac:dyDescent="0.25">
      <c r="A68" s="5">
        <v>24</v>
      </c>
      <c r="B68" s="5" t="s">
        <v>60</v>
      </c>
      <c r="C68" s="8">
        <v>0</v>
      </c>
      <c r="D68" s="8"/>
      <c r="E68" s="8">
        <v>0.08</v>
      </c>
      <c r="F68" s="8">
        <v>0.29039999999999999</v>
      </c>
      <c r="G68" s="8">
        <v>0</v>
      </c>
    </row>
    <row r="69" spans="1:7" x14ac:dyDescent="0.25">
      <c r="A69" s="5">
        <v>25</v>
      </c>
      <c r="B69" s="5" t="s">
        <v>61</v>
      </c>
      <c r="C69" s="8">
        <v>1.5911500000000001</v>
      </c>
      <c r="D69" s="8">
        <v>5.2662199999999997</v>
      </c>
      <c r="E69" s="8">
        <v>3.23</v>
      </c>
      <c r="F69" s="8">
        <v>2.02</v>
      </c>
      <c r="G69" s="12">
        <v>3.0300000000000002</v>
      </c>
    </row>
    <row r="70" spans="1:7" x14ac:dyDescent="0.25">
      <c r="A70" s="5">
        <v>26</v>
      </c>
      <c r="B70" s="5" t="s">
        <v>62</v>
      </c>
      <c r="C70" s="8">
        <v>5.5438200000000002</v>
      </c>
      <c r="D70" s="8">
        <v>5.24</v>
      </c>
      <c r="E70" s="8">
        <v>6.24</v>
      </c>
      <c r="F70" s="8">
        <v>8.16859</v>
      </c>
      <c r="G70" s="8">
        <v>6.4099999999999993</v>
      </c>
    </row>
    <row r="71" spans="1:7" x14ac:dyDescent="0.25">
      <c r="A71" s="5">
        <v>27</v>
      </c>
      <c r="B71" s="5" t="s">
        <v>64</v>
      </c>
      <c r="C71" s="5"/>
      <c r="D71" s="8"/>
      <c r="E71" s="8"/>
      <c r="F71" s="5">
        <v>0.01</v>
      </c>
      <c r="G71" s="8">
        <v>0.01</v>
      </c>
    </row>
    <row r="72" spans="1:7" x14ac:dyDescent="0.25">
      <c r="A72" s="5">
        <v>28</v>
      </c>
      <c r="B72" s="5" t="s">
        <v>65</v>
      </c>
      <c r="C72" s="16">
        <v>5.0981500000000004</v>
      </c>
      <c r="D72" s="8">
        <v>6.4585600000000003</v>
      </c>
      <c r="E72" s="8">
        <v>10.46</v>
      </c>
      <c r="F72" s="12">
        <v>9.620000000000001</v>
      </c>
      <c r="G72" s="8">
        <v>15.06</v>
      </c>
    </row>
    <row r="73" spans="1:7" x14ac:dyDescent="0.25">
      <c r="A73" s="5">
        <v>29</v>
      </c>
      <c r="B73" s="5" t="s">
        <v>19</v>
      </c>
      <c r="C73" s="16">
        <v>3.14</v>
      </c>
      <c r="D73" s="16">
        <v>4.42</v>
      </c>
      <c r="E73" s="16">
        <v>4.5199999999999996</v>
      </c>
      <c r="F73" s="16">
        <v>3.3</v>
      </c>
      <c r="G73" s="16">
        <v>3.3</v>
      </c>
    </row>
    <row r="74" spans="1:7" x14ac:dyDescent="0.25">
      <c r="A74" s="5">
        <v>30</v>
      </c>
      <c r="B74" s="5" t="s">
        <v>166</v>
      </c>
      <c r="C74" s="21">
        <v>-182.71999999999997</v>
      </c>
      <c r="D74" s="21">
        <v>83.497129999999999</v>
      </c>
      <c r="E74" s="21">
        <v>-84.264818507573551</v>
      </c>
      <c r="F74" s="21">
        <v>-18.03209</v>
      </c>
      <c r="G74" s="21"/>
    </row>
    <row r="75" spans="1:7" x14ac:dyDescent="0.25">
      <c r="A75" s="141" t="s">
        <v>72</v>
      </c>
      <c r="B75" s="142"/>
      <c r="C75" s="8">
        <f>SUM(C45:C74)</f>
        <v>383.82652000000002</v>
      </c>
      <c r="D75" s="8">
        <f t="shared" ref="D75:G75" si="6">SUM(D45:D74)</f>
        <v>557.32132000000001</v>
      </c>
      <c r="E75" s="8">
        <f t="shared" si="6"/>
        <v>412.03518149242643</v>
      </c>
      <c r="F75" s="8">
        <f t="shared" si="6"/>
        <v>917.18711099999973</v>
      </c>
      <c r="G75" s="8">
        <f t="shared" si="6"/>
        <v>614.2136499999998</v>
      </c>
    </row>
    <row r="78" spans="1:7" x14ac:dyDescent="0.25">
      <c r="A78" s="143" t="s">
        <v>86</v>
      </c>
      <c r="B78" s="143"/>
      <c r="C78" s="143"/>
      <c r="D78" s="143"/>
      <c r="E78" s="143"/>
      <c r="F78" s="143"/>
      <c r="G78" s="143"/>
    </row>
    <row r="79" spans="1:7" x14ac:dyDescent="0.25">
      <c r="A79" s="1" t="s">
        <v>37</v>
      </c>
      <c r="B79" s="10" t="s">
        <v>0</v>
      </c>
      <c r="C79" s="1" t="s">
        <v>45</v>
      </c>
      <c r="D79" s="1" t="s">
        <v>44</v>
      </c>
      <c r="E79" s="1" t="s">
        <v>38</v>
      </c>
      <c r="F79" s="1" t="s">
        <v>39</v>
      </c>
      <c r="G79" s="1" t="s">
        <v>43</v>
      </c>
    </row>
    <row r="80" spans="1:7" x14ac:dyDescent="0.25">
      <c r="A80" s="5">
        <v>1</v>
      </c>
      <c r="B80" s="5" t="s">
        <v>73</v>
      </c>
      <c r="C80" s="16">
        <v>137.16999999999999</v>
      </c>
      <c r="D80" s="16">
        <v>181</v>
      </c>
      <c r="E80" s="16">
        <v>271.10000000000002</v>
      </c>
      <c r="F80" s="16">
        <v>211.35</v>
      </c>
      <c r="G80" s="16">
        <v>275.92</v>
      </c>
    </row>
    <row r="81" spans="1:7" x14ac:dyDescent="0.25">
      <c r="A81" s="5">
        <v>2</v>
      </c>
      <c r="B81" s="5" t="s">
        <v>74</v>
      </c>
      <c r="C81" s="16">
        <v>62.886180000000003</v>
      </c>
      <c r="D81" s="8">
        <v>77.2</v>
      </c>
      <c r="E81" s="8">
        <v>65.53</v>
      </c>
      <c r="F81" s="8">
        <v>99.94</v>
      </c>
      <c r="G81" s="8">
        <v>86.63</v>
      </c>
    </row>
    <row r="82" spans="1:7" x14ac:dyDescent="0.25">
      <c r="A82" s="5">
        <v>3</v>
      </c>
      <c r="B82" s="5" t="s">
        <v>75</v>
      </c>
      <c r="C82" s="16">
        <v>0.22444</v>
      </c>
      <c r="D82" s="8">
        <v>0.16</v>
      </c>
      <c r="E82" s="8">
        <v>0.17</v>
      </c>
      <c r="F82" s="8">
        <v>0.14000000000000001</v>
      </c>
      <c r="G82" s="8">
        <v>7.0000000000000007E-2</v>
      </c>
    </row>
    <row r="83" spans="1:7" x14ac:dyDescent="0.25">
      <c r="A83" s="5">
        <v>4</v>
      </c>
      <c r="B83" s="5" t="s">
        <v>76</v>
      </c>
      <c r="C83" s="16">
        <v>0.25396999999999997</v>
      </c>
      <c r="D83" s="8">
        <v>2.99</v>
      </c>
      <c r="E83" s="8">
        <v>0.14000000000000001</v>
      </c>
      <c r="F83" s="8">
        <v>0.62975999999999999</v>
      </c>
      <c r="G83" s="8">
        <v>2.86</v>
      </c>
    </row>
    <row r="84" spans="1:7" x14ac:dyDescent="0.25">
      <c r="A84" s="5">
        <v>5</v>
      </c>
      <c r="B84" s="5" t="s">
        <v>77</v>
      </c>
      <c r="C84" s="16">
        <v>14.3512</v>
      </c>
      <c r="D84" s="8">
        <v>9.17</v>
      </c>
      <c r="E84" s="8">
        <v>17.010000000000002</v>
      </c>
      <c r="F84" s="8">
        <v>15.46</v>
      </c>
      <c r="G84" s="8">
        <v>10.469999999999999</v>
      </c>
    </row>
    <row r="85" spans="1:7" x14ac:dyDescent="0.25">
      <c r="A85" s="5">
        <v>6</v>
      </c>
      <c r="B85" s="5" t="s">
        <v>78</v>
      </c>
      <c r="C85" s="16">
        <v>1.37026</v>
      </c>
      <c r="D85" s="8">
        <v>1.22</v>
      </c>
      <c r="E85" s="8">
        <v>2.1</v>
      </c>
      <c r="F85" s="8">
        <v>1.1779500000000001</v>
      </c>
      <c r="G85" s="8">
        <v>0.85</v>
      </c>
    </row>
    <row r="86" spans="1:7" x14ac:dyDescent="0.25">
      <c r="A86" s="5">
        <v>7</v>
      </c>
      <c r="B86" s="5" t="s">
        <v>79</v>
      </c>
      <c r="C86" s="16">
        <v>0</v>
      </c>
      <c r="D86" s="8"/>
      <c r="E86" s="12"/>
      <c r="F86" s="8"/>
      <c r="G86" s="8">
        <v>0.47</v>
      </c>
    </row>
    <row r="87" spans="1:7" x14ac:dyDescent="0.25">
      <c r="A87" s="5">
        <v>8</v>
      </c>
      <c r="B87" s="5" t="s">
        <v>80</v>
      </c>
      <c r="C87" s="16">
        <v>11.81</v>
      </c>
      <c r="D87" s="8">
        <v>5</v>
      </c>
      <c r="E87" s="12">
        <v>23</v>
      </c>
      <c r="F87" s="8">
        <v>5</v>
      </c>
      <c r="G87" s="8">
        <v>0</v>
      </c>
    </row>
    <row r="88" spans="1:7" x14ac:dyDescent="0.25">
      <c r="A88" s="5">
        <v>9</v>
      </c>
      <c r="B88" s="5" t="s">
        <v>94</v>
      </c>
      <c r="C88" s="16">
        <v>7</v>
      </c>
      <c r="D88" s="8">
        <v>6.85</v>
      </c>
      <c r="E88" s="12">
        <v>6.82</v>
      </c>
      <c r="F88" s="5"/>
    </row>
    <row r="89" spans="1:7" x14ac:dyDescent="0.25">
      <c r="A89" s="5">
        <v>10</v>
      </c>
      <c r="B89" s="5" t="s">
        <v>95</v>
      </c>
      <c r="C89" s="16">
        <v>1.34</v>
      </c>
      <c r="D89" s="8">
        <v>1.71</v>
      </c>
      <c r="E89" s="12">
        <v>1.37</v>
      </c>
      <c r="F89" s="8">
        <v>1.88</v>
      </c>
      <c r="G89" s="5">
        <v>1.54</v>
      </c>
    </row>
    <row r="90" spans="1:7" x14ac:dyDescent="0.25">
      <c r="A90" s="5">
        <v>11</v>
      </c>
      <c r="B90" s="13" t="s">
        <v>139</v>
      </c>
      <c r="C90" s="5"/>
      <c r="D90" s="5"/>
      <c r="E90" s="5"/>
      <c r="F90" s="8"/>
      <c r="G90" s="8">
        <v>0.12</v>
      </c>
    </row>
    <row r="91" spans="1:7" x14ac:dyDescent="0.25">
      <c r="A91" s="139" t="s">
        <v>97</v>
      </c>
      <c r="B91" s="140"/>
      <c r="C91" s="22">
        <f>SUM(C80:C90)</f>
        <v>236.40604999999999</v>
      </c>
      <c r="D91" s="22">
        <f t="shared" ref="D91:G91" si="7">SUM(D80:D90)</f>
        <v>285.30000000000007</v>
      </c>
      <c r="E91" s="22">
        <f t="shared" si="7"/>
        <v>387.24</v>
      </c>
      <c r="F91" s="22">
        <f t="shared" si="7"/>
        <v>335.57770999999991</v>
      </c>
      <c r="G91" s="22">
        <f t="shared" si="7"/>
        <v>378.93000000000012</v>
      </c>
    </row>
    <row r="92" spans="1:7" x14ac:dyDescent="0.25">
      <c r="D92" s="14"/>
      <c r="F92" s="14"/>
    </row>
    <row r="94" spans="1:7" x14ac:dyDescent="0.25">
      <c r="B94" s="26" t="s">
        <v>34</v>
      </c>
      <c r="F94" s="6"/>
    </row>
    <row r="95" spans="1:7" x14ac:dyDescent="0.25">
      <c r="A95" s="1" t="s">
        <v>37</v>
      </c>
      <c r="B95" s="10" t="s">
        <v>0</v>
      </c>
      <c r="C95" s="1" t="s">
        <v>45</v>
      </c>
      <c r="D95" s="1" t="s">
        <v>44</v>
      </c>
      <c r="E95" s="1" t="s">
        <v>38</v>
      </c>
      <c r="F95" s="11" t="s">
        <v>39</v>
      </c>
      <c r="G95" s="1" t="s">
        <v>43</v>
      </c>
    </row>
    <row r="96" spans="1:7" x14ac:dyDescent="0.25">
      <c r="A96" s="5">
        <v>1</v>
      </c>
      <c r="B96" s="5" t="s">
        <v>182</v>
      </c>
      <c r="C96" s="5"/>
      <c r="D96" s="5"/>
      <c r="E96" s="5"/>
      <c r="F96" s="8"/>
      <c r="G96" s="21">
        <v>-0.64</v>
      </c>
    </row>
    <row r="97" spans="1:7" x14ac:dyDescent="0.25">
      <c r="A97" s="5">
        <v>2</v>
      </c>
      <c r="B97" s="5" t="s">
        <v>171</v>
      </c>
      <c r="C97" s="5">
        <v>2.14</v>
      </c>
      <c r="D97" s="5">
        <v>0.38</v>
      </c>
      <c r="E97" s="5">
        <v>0.35</v>
      </c>
      <c r="F97" s="8">
        <v>0.24</v>
      </c>
      <c r="G97" s="5">
        <v>0.28999999999999998</v>
      </c>
    </row>
    <row r="98" spans="1:7" x14ac:dyDescent="0.25">
      <c r="A98" s="5">
        <v>3</v>
      </c>
      <c r="B98" s="5" t="s">
        <v>172</v>
      </c>
      <c r="C98" s="5">
        <v>0.06</v>
      </c>
      <c r="D98" s="5"/>
      <c r="E98" s="5"/>
      <c r="F98" s="8"/>
      <c r="G98" s="5"/>
    </row>
    <row r="99" spans="1:7" x14ac:dyDescent="0.25">
      <c r="A99" s="5">
        <v>4</v>
      </c>
      <c r="B99" s="5" t="s">
        <v>174</v>
      </c>
      <c r="C99" s="5">
        <v>1.03</v>
      </c>
      <c r="D99" s="5"/>
      <c r="E99" s="5"/>
      <c r="F99" s="8"/>
      <c r="G99" s="5"/>
    </row>
    <row r="100" spans="1:7" ht="30" x14ac:dyDescent="0.25">
      <c r="A100" s="5">
        <v>5</v>
      </c>
      <c r="B100" s="9" t="s">
        <v>189</v>
      </c>
      <c r="C100" s="5">
        <v>1.22</v>
      </c>
      <c r="D100" s="8">
        <f>53.49+5.37+25.94</f>
        <v>84.8</v>
      </c>
      <c r="E100" s="5">
        <v>14.27</v>
      </c>
      <c r="F100" s="8">
        <v>3.1</v>
      </c>
      <c r="G100" s="5">
        <v>2.35</v>
      </c>
    </row>
    <row r="101" spans="1:7" x14ac:dyDescent="0.25">
      <c r="A101" s="5">
        <v>6</v>
      </c>
      <c r="B101" s="5" t="s">
        <v>187</v>
      </c>
      <c r="C101" s="5"/>
      <c r="D101" s="5"/>
      <c r="E101" s="5">
        <v>4.28</v>
      </c>
      <c r="F101" s="8"/>
      <c r="G101" s="5"/>
    </row>
    <row r="102" spans="1:7" x14ac:dyDescent="0.25">
      <c r="A102" s="5">
        <v>7</v>
      </c>
      <c r="B102" s="5" t="s">
        <v>184</v>
      </c>
      <c r="C102" s="5"/>
      <c r="D102" s="5"/>
      <c r="E102" s="5"/>
      <c r="F102" s="8"/>
      <c r="G102" s="5">
        <v>0.25</v>
      </c>
    </row>
    <row r="103" spans="1:7" x14ac:dyDescent="0.25">
      <c r="A103" s="139" t="s">
        <v>177</v>
      </c>
      <c r="B103" s="140"/>
      <c r="C103" s="5">
        <f>SUM(C96:C102)</f>
        <v>4.45</v>
      </c>
      <c r="D103" s="5">
        <f t="shared" ref="D103:G103" si="8">SUM(D96:D102)</f>
        <v>85.179999999999993</v>
      </c>
      <c r="E103" s="8">
        <f t="shared" si="8"/>
        <v>18.899999999999999</v>
      </c>
      <c r="F103" s="5">
        <f t="shared" si="8"/>
        <v>3.34</v>
      </c>
      <c r="G103" s="5">
        <f t="shared" si="8"/>
        <v>2.25</v>
      </c>
    </row>
  </sheetData>
  <mergeCells count="9">
    <mergeCell ref="F1:G1"/>
    <mergeCell ref="A3:G3"/>
    <mergeCell ref="A4:G4"/>
    <mergeCell ref="A103:B103"/>
    <mergeCell ref="A91:B91"/>
    <mergeCell ref="A2:G2"/>
    <mergeCell ref="A43:G43"/>
    <mergeCell ref="A75:B75"/>
    <mergeCell ref="A78:G78"/>
  </mergeCells>
  <pageMargins left="0.7" right="0.43" top="0.75" bottom="0.75" header="0.3" footer="0.3"/>
  <pageSetup paperSize="9" scale="98" orientation="portrait" verticalDpi="0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selection activeCell="K14" sqref="K14"/>
    </sheetView>
  </sheetViews>
  <sheetFormatPr defaultRowHeight="15" x14ac:dyDescent="0.25"/>
  <cols>
    <col min="1" max="1" width="6" style="32" customWidth="1"/>
    <col min="2" max="2" width="35.42578125" style="32" customWidth="1"/>
    <col min="3" max="5" width="10.140625" style="64" customWidth="1"/>
    <col min="6" max="6" width="10.28515625" style="64" customWidth="1"/>
    <col min="7" max="7" width="10.140625" style="64" customWidth="1"/>
    <col min="8" max="11" width="9.140625" style="4"/>
    <col min="12" max="16384" width="9.140625" style="32"/>
  </cols>
  <sheetData>
    <row r="1" spans="1:11" x14ac:dyDescent="0.25">
      <c r="F1" s="137" t="s">
        <v>212</v>
      </c>
      <c r="G1" s="137"/>
    </row>
    <row r="2" spans="1:11" x14ac:dyDescent="0.25">
      <c r="A2" s="147" t="s">
        <v>138</v>
      </c>
      <c r="B2" s="147"/>
      <c r="C2" s="147"/>
      <c r="D2" s="147"/>
      <c r="E2" s="147"/>
      <c r="F2" s="147"/>
      <c r="G2" s="147"/>
      <c r="H2" s="32"/>
      <c r="I2" s="32"/>
      <c r="J2" s="32"/>
      <c r="K2" s="32"/>
    </row>
    <row r="3" spans="1:11" x14ac:dyDescent="0.25">
      <c r="A3" s="138" t="s">
        <v>215</v>
      </c>
      <c r="B3" s="138"/>
      <c r="C3" s="138"/>
      <c r="D3" s="138"/>
      <c r="E3" s="138"/>
      <c r="F3" s="138"/>
      <c r="G3" s="138"/>
      <c r="H3" s="32"/>
      <c r="I3" s="32"/>
      <c r="J3" s="32"/>
      <c r="K3" s="32"/>
    </row>
    <row r="4" spans="1:11" x14ac:dyDescent="0.25">
      <c r="A4" s="138" t="s">
        <v>218</v>
      </c>
      <c r="B4" s="138"/>
      <c r="C4" s="138"/>
      <c r="D4" s="138"/>
      <c r="E4" s="138"/>
      <c r="F4" s="138"/>
      <c r="G4" s="138"/>
      <c r="H4" s="32"/>
      <c r="I4" s="32"/>
      <c r="J4" s="32"/>
      <c r="K4" s="32"/>
    </row>
    <row r="5" spans="1:11" x14ac:dyDescent="0.25">
      <c r="G5" s="65" t="s">
        <v>96</v>
      </c>
      <c r="H5" s="32"/>
      <c r="I5" s="32"/>
      <c r="J5" s="32"/>
      <c r="K5" s="32"/>
    </row>
    <row r="6" spans="1:11" x14ac:dyDescent="0.25">
      <c r="A6" s="34" t="s">
        <v>37</v>
      </c>
      <c r="B6" s="34" t="s">
        <v>0</v>
      </c>
      <c r="C6" s="66" t="s">
        <v>45</v>
      </c>
      <c r="D6" s="66" t="s">
        <v>44</v>
      </c>
      <c r="E6" s="66" t="s">
        <v>38</v>
      </c>
      <c r="F6" s="66" t="s">
        <v>39</v>
      </c>
      <c r="G6" s="66" t="s">
        <v>43</v>
      </c>
      <c r="H6" s="32"/>
      <c r="I6" s="32"/>
      <c r="J6" s="32"/>
      <c r="K6" s="32"/>
    </row>
    <row r="7" spans="1:11" x14ac:dyDescent="0.25">
      <c r="A7" s="44">
        <v>1</v>
      </c>
      <c r="B7" s="21" t="s">
        <v>6</v>
      </c>
      <c r="C7" s="63"/>
      <c r="D7" s="63"/>
      <c r="E7" s="63"/>
      <c r="F7" s="31"/>
      <c r="G7" s="63"/>
      <c r="H7" s="32"/>
      <c r="I7" s="32"/>
      <c r="J7" s="32"/>
      <c r="K7" s="32"/>
    </row>
    <row r="8" spans="1:11" x14ac:dyDescent="0.25">
      <c r="A8" s="44">
        <v>2</v>
      </c>
      <c r="B8" s="21" t="s">
        <v>7</v>
      </c>
      <c r="C8" s="31"/>
      <c r="D8" s="31"/>
      <c r="E8" s="31"/>
      <c r="F8" s="31"/>
      <c r="G8" s="31"/>
      <c r="H8" s="32"/>
      <c r="I8" s="32"/>
      <c r="J8" s="32"/>
      <c r="K8" s="32"/>
    </row>
    <row r="9" spans="1:11" x14ac:dyDescent="0.25">
      <c r="A9" s="5">
        <v>2.1</v>
      </c>
      <c r="B9" s="5" t="s">
        <v>161</v>
      </c>
      <c r="C9" s="31">
        <v>62.2</v>
      </c>
      <c r="D9" s="31">
        <v>72.14</v>
      </c>
      <c r="E9" s="31">
        <v>133.34</v>
      </c>
      <c r="F9" s="31">
        <v>100.46</v>
      </c>
      <c r="G9" s="31">
        <v>135.07</v>
      </c>
      <c r="H9" s="32"/>
      <c r="I9" s="32"/>
      <c r="J9" s="32"/>
      <c r="K9" s="32"/>
    </row>
    <row r="10" spans="1:11" x14ac:dyDescent="0.25">
      <c r="A10" s="5">
        <v>2.2000000000000002</v>
      </c>
      <c r="B10" s="5" t="s">
        <v>162</v>
      </c>
      <c r="C10" s="31">
        <v>937.03</v>
      </c>
      <c r="D10" s="31">
        <v>1203.5899999999999</v>
      </c>
      <c r="E10" s="31">
        <v>762.44</v>
      </c>
      <c r="F10" s="31">
        <v>1404.07</v>
      </c>
      <c r="G10" s="31">
        <v>1165.3700000000001</v>
      </c>
      <c r="H10" s="32"/>
      <c r="I10" s="32"/>
      <c r="J10" s="32"/>
      <c r="K10" s="32"/>
    </row>
    <row r="11" spans="1:11" x14ac:dyDescent="0.25">
      <c r="A11" s="5"/>
      <c r="B11" s="5" t="s">
        <v>163</v>
      </c>
      <c r="C11" s="31">
        <v>999.23</v>
      </c>
      <c r="D11" s="31">
        <v>1275.73</v>
      </c>
      <c r="E11" s="31">
        <v>895.78</v>
      </c>
      <c r="F11" s="31">
        <v>1504.53</v>
      </c>
      <c r="G11" s="31">
        <v>1300.44</v>
      </c>
      <c r="H11" s="32"/>
      <c r="I11" s="32"/>
      <c r="J11" s="32"/>
      <c r="K11" s="32"/>
    </row>
    <row r="12" spans="1:11" x14ac:dyDescent="0.25">
      <c r="A12" s="44">
        <v>3</v>
      </c>
      <c r="B12" s="21" t="s">
        <v>8</v>
      </c>
      <c r="C12" s="31">
        <v>185.22613000000001</v>
      </c>
      <c r="D12" s="31">
        <v>200.69</v>
      </c>
      <c r="E12" s="31">
        <v>199.8</v>
      </c>
      <c r="F12" s="31">
        <v>155.96</v>
      </c>
      <c r="G12" s="31">
        <v>167.31</v>
      </c>
      <c r="H12" s="32"/>
      <c r="I12" s="32"/>
      <c r="J12" s="32"/>
      <c r="K12" s="32"/>
    </row>
    <row r="13" spans="1:11" x14ac:dyDescent="0.25">
      <c r="A13" s="44">
        <v>4</v>
      </c>
      <c r="B13" s="21" t="s">
        <v>104</v>
      </c>
      <c r="C13" s="31">
        <v>292.09242</v>
      </c>
      <c r="D13" s="31">
        <v>317.33</v>
      </c>
      <c r="E13" s="31">
        <v>340.17968000000002</v>
      </c>
      <c r="F13" s="31">
        <v>351.55</v>
      </c>
      <c r="G13" s="31">
        <v>365.4</v>
      </c>
      <c r="H13" s="32"/>
      <c r="I13" s="32"/>
      <c r="J13" s="32"/>
      <c r="K13" s="32"/>
    </row>
    <row r="14" spans="1:11" x14ac:dyDescent="0.25">
      <c r="A14" s="44">
        <v>5</v>
      </c>
      <c r="B14" s="34" t="s">
        <v>21</v>
      </c>
      <c r="C14" s="31"/>
      <c r="D14" s="31"/>
      <c r="E14" s="31"/>
      <c r="F14" s="31"/>
      <c r="G14" s="31"/>
      <c r="H14" s="32"/>
      <c r="I14" s="32"/>
      <c r="J14" s="32"/>
      <c r="K14" s="32"/>
    </row>
    <row r="15" spans="1:11" x14ac:dyDescent="0.25">
      <c r="A15" s="44">
        <v>5.0999999999999996</v>
      </c>
      <c r="B15" s="21" t="s">
        <v>12</v>
      </c>
      <c r="C15" s="31"/>
      <c r="D15" s="31"/>
      <c r="E15" s="31"/>
      <c r="F15" s="31"/>
      <c r="G15" s="31"/>
      <c r="H15" s="32"/>
      <c r="I15" s="32"/>
      <c r="J15" s="32"/>
      <c r="K15" s="32"/>
    </row>
    <row r="16" spans="1:11" x14ac:dyDescent="0.25">
      <c r="A16" s="81">
        <v>5.0999999999999996</v>
      </c>
      <c r="B16" s="21" t="s">
        <v>13</v>
      </c>
      <c r="C16" s="31">
        <v>57.21</v>
      </c>
      <c r="D16" s="31">
        <v>110.56</v>
      </c>
      <c r="E16" s="31">
        <v>45.06</v>
      </c>
      <c r="F16" s="31">
        <v>45.34</v>
      </c>
      <c r="G16" s="31">
        <v>40.65</v>
      </c>
      <c r="H16" s="32"/>
      <c r="I16" s="32"/>
      <c r="J16" s="32"/>
      <c r="K16" s="32"/>
    </row>
    <row r="17" spans="1:11" x14ac:dyDescent="0.25">
      <c r="A17" s="81">
        <v>5.3</v>
      </c>
      <c r="B17" s="21" t="s">
        <v>14</v>
      </c>
      <c r="C17" s="31">
        <v>18.919219999999999</v>
      </c>
      <c r="D17" s="31">
        <v>29.14</v>
      </c>
      <c r="E17" s="31">
        <v>47.56</v>
      </c>
      <c r="F17" s="31">
        <v>36.619999999999997</v>
      </c>
      <c r="G17" s="31">
        <v>51.89</v>
      </c>
      <c r="H17" s="32"/>
      <c r="I17" s="32"/>
      <c r="J17" s="32"/>
      <c r="K17" s="32"/>
    </row>
    <row r="18" spans="1:11" x14ac:dyDescent="0.25">
      <c r="A18" s="81">
        <v>5.4</v>
      </c>
      <c r="B18" s="21" t="s">
        <v>15</v>
      </c>
      <c r="C18" s="31">
        <v>6.7931699999999999</v>
      </c>
      <c r="D18" s="31">
        <v>5.61</v>
      </c>
      <c r="E18" s="31">
        <v>3.54</v>
      </c>
      <c r="F18" s="31">
        <v>5.62</v>
      </c>
      <c r="G18" s="31">
        <v>5.5699999999999994</v>
      </c>
      <c r="H18" s="32"/>
      <c r="I18" s="32"/>
      <c r="J18" s="32"/>
      <c r="K18" s="32"/>
    </row>
    <row r="19" spans="1:11" x14ac:dyDescent="0.25">
      <c r="A19" s="81">
        <v>5.5</v>
      </c>
      <c r="B19" s="21" t="s">
        <v>16</v>
      </c>
      <c r="C19" s="31"/>
      <c r="D19" s="31"/>
      <c r="E19" s="31"/>
      <c r="F19" s="31"/>
      <c r="G19" s="31"/>
      <c r="H19" s="32"/>
      <c r="I19" s="32"/>
      <c r="J19" s="32"/>
      <c r="K19" s="32"/>
    </row>
    <row r="20" spans="1:11" x14ac:dyDescent="0.25">
      <c r="A20" s="81">
        <v>5.6</v>
      </c>
      <c r="B20" s="21" t="s">
        <v>18</v>
      </c>
      <c r="C20" s="31"/>
      <c r="D20" s="31"/>
      <c r="E20" s="31"/>
      <c r="F20" s="31"/>
      <c r="G20" s="31"/>
      <c r="H20" s="32"/>
      <c r="I20" s="32"/>
      <c r="J20" s="32"/>
      <c r="K20" s="32"/>
    </row>
    <row r="21" spans="1:11" x14ac:dyDescent="0.25">
      <c r="A21" s="81">
        <v>5.7</v>
      </c>
      <c r="B21" s="21" t="s">
        <v>41</v>
      </c>
      <c r="C21" s="31">
        <v>0.26222000000000001</v>
      </c>
      <c r="D21" s="31"/>
      <c r="E21" s="31">
        <v>1.9</v>
      </c>
      <c r="F21" s="31">
        <v>1.31</v>
      </c>
      <c r="G21" s="31">
        <v>0.44</v>
      </c>
      <c r="H21" s="32"/>
      <c r="I21" s="32"/>
      <c r="J21" s="32"/>
      <c r="K21" s="32"/>
    </row>
    <row r="22" spans="1:11" x14ac:dyDescent="0.25">
      <c r="A22" s="82"/>
      <c r="B22" s="34" t="s">
        <v>20</v>
      </c>
      <c r="C22" s="66">
        <f>SUM(C15:C21)</f>
        <v>83.184610000000006</v>
      </c>
      <c r="D22" s="66">
        <f>SUM(D15:D21)</f>
        <v>145.31</v>
      </c>
      <c r="E22" s="66">
        <f>SUM(E15:E21)</f>
        <v>98.060000000000016</v>
      </c>
      <c r="F22" s="66">
        <f>SUM(F15:F21)</f>
        <v>88.890000000000015</v>
      </c>
      <c r="G22" s="66">
        <f>SUM(G15:G21)</f>
        <v>98.549999999999983</v>
      </c>
      <c r="H22" s="32"/>
      <c r="I22" s="32"/>
      <c r="J22" s="32"/>
      <c r="K22" s="32"/>
    </row>
    <row r="23" spans="1:11" x14ac:dyDescent="0.25">
      <c r="A23" s="44">
        <v>6</v>
      </c>
      <c r="B23" s="34" t="s">
        <v>22</v>
      </c>
      <c r="C23" s="63"/>
      <c r="D23" s="63"/>
      <c r="E23" s="63"/>
      <c r="F23" s="63"/>
      <c r="G23" s="63"/>
      <c r="H23" s="32"/>
      <c r="I23" s="32"/>
      <c r="J23" s="32"/>
      <c r="K23" s="32"/>
    </row>
    <row r="24" spans="1:11" x14ac:dyDescent="0.25">
      <c r="A24" s="81">
        <v>6.1</v>
      </c>
      <c r="B24" s="21" t="s">
        <v>23</v>
      </c>
      <c r="C24" s="63">
        <v>3966.4164385550494</v>
      </c>
      <c r="D24" s="63">
        <v>3210.7200000000003</v>
      </c>
      <c r="E24" s="63">
        <v>3256.48</v>
      </c>
      <c r="F24" s="63">
        <v>3060.02</v>
      </c>
      <c r="G24" s="63">
        <v>5016.9399999999987</v>
      </c>
      <c r="H24" s="32"/>
      <c r="I24" s="32"/>
      <c r="J24" s="32"/>
      <c r="K24" s="32"/>
    </row>
    <row r="25" spans="1:11" x14ac:dyDescent="0.25">
      <c r="A25" s="81">
        <v>6.2</v>
      </c>
      <c r="B25" s="21" t="s">
        <v>24</v>
      </c>
      <c r="C25" s="63">
        <f>+C94</f>
        <v>350.06205000000006</v>
      </c>
      <c r="D25" s="63">
        <f>+D94</f>
        <v>373.63</v>
      </c>
      <c r="E25" s="63">
        <f>+E94</f>
        <v>476.43999999999994</v>
      </c>
      <c r="F25" s="63">
        <f>+F94</f>
        <v>412.41000000000008</v>
      </c>
      <c r="G25" s="63">
        <f>+G94</f>
        <v>506.36999999999995</v>
      </c>
      <c r="H25" s="32"/>
      <c r="I25" s="32"/>
      <c r="J25" s="32"/>
      <c r="K25" s="32"/>
    </row>
    <row r="26" spans="1:11" x14ac:dyDescent="0.25">
      <c r="A26" s="81">
        <v>6.3</v>
      </c>
      <c r="B26" s="21" t="s">
        <v>25</v>
      </c>
      <c r="C26" s="63"/>
      <c r="D26" s="63"/>
      <c r="E26" s="63"/>
      <c r="F26" s="63"/>
      <c r="G26" s="63"/>
      <c r="H26" s="32"/>
      <c r="I26" s="32"/>
      <c r="J26" s="32"/>
      <c r="K26" s="32"/>
    </row>
    <row r="27" spans="1:11" x14ac:dyDescent="0.25">
      <c r="A27" s="81">
        <v>6.4</v>
      </c>
      <c r="B27" s="21" t="s">
        <v>26</v>
      </c>
      <c r="C27" s="63"/>
      <c r="D27" s="63"/>
      <c r="E27" s="63"/>
      <c r="F27" s="63"/>
      <c r="G27" s="63"/>
      <c r="H27" s="32"/>
      <c r="I27" s="32"/>
      <c r="J27" s="32"/>
      <c r="K27" s="32"/>
    </row>
    <row r="28" spans="1:11" x14ac:dyDescent="0.25">
      <c r="A28" s="81">
        <v>6.5</v>
      </c>
      <c r="B28" s="21" t="s">
        <v>27</v>
      </c>
      <c r="C28" s="63"/>
      <c r="D28" s="63"/>
      <c r="E28" s="63"/>
      <c r="F28" s="63"/>
      <c r="G28" s="63">
        <v>0.52</v>
      </c>
      <c r="H28" s="32"/>
      <c r="I28" s="32"/>
      <c r="J28" s="32"/>
      <c r="K28" s="32"/>
    </row>
    <row r="29" spans="1:11" x14ac:dyDescent="0.25">
      <c r="A29" s="81">
        <v>6.6</v>
      </c>
      <c r="B29" s="21" t="s">
        <v>42</v>
      </c>
      <c r="C29" s="63">
        <v>161.36000000000001</v>
      </c>
      <c r="D29" s="63">
        <v>106.42999999999999</v>
      </c>
      <c r="E29" s="63">
        <v>198.33</v>
      </c>
      <c r="F29" s="63">
        <v>194.29999999999998</v>
      </c>
      <c r="G29" s="63">
        <v>132.51</v>
      </c>
      <c r="H29" s="32"/>
      <c r="I29" s="32"/>
      <c r="J29" s="32"/>
      <c r="K29" s="32"/>
    </row>
    <row r="30" spans="1:11" x14ac:dyDescent="0.25">
      <c r="A30" s="82"/>
      <c r="B30" s="34" t="s">
        <v>28</v>
      </c>
      <c r="C30" s="63">
        <f>SUM(C24:C29)</f>
        <v>4477.8384885550495</v>
      </c>
      <c r="D30" s="63">
        <f t="shared" ref="D30:G30" si="0">SUM(D24:D29)</f>
        <v>3690.78</v>
      </c>
      <c r="E30" s="63">
        <f t="shared" si="0"/>
        <v>3931.25</v>
      </c>
      <c r="F30" s="63">
        <f t="shared" si="0"/>
        <v>3666.7300000000005</v>
      </c>
      <c r="G30" s="63">
        <f t="shared" si="0"/>
        <v>5656.3399999999992</v>
      </c>
      <c r="H30" s="32"/>
      <c r="I30" s="32"/>
      <c r="J30" s="32"/>
      <c r="K30" s="32"/>
    </row>
    <row r="31" spans="1:11" x14ac:dyDescent="0.25">
      <c r="A31" s="44">
        <v>7</v>
      </c>
      <c r="B31" s="21" t="s">
        <v>165</v>
      </c>
      <c r="C31" s="67">
        <v>6.2799999999999994</v>
      </c>
      <c r="D31" s="67">
        <v>-1.8</v>
      </c>
      <c r="E31" s="67">
        <v>5.57</v>
      </c>
      <c r="F31" s="67">
        <v>0.83</v>
      </c>
      <c r="G31" s="67">
        <v>7.0000000000000007E-2</v>
      </c>
      <c r="H31" s="32"/>
      <c r="I31" s="32"/>
      <c r="J31" s="32"/>
      <c r="K31" s="32"/>
    </row>
    <row r="32" spans="1:11" x14ac:dyDescent="0.25">
      <c r="A32" s="44">
        <v>8</v>
      </c>
      <c r="B32" s="21" t="s">
        <v>29</v>
      </c>
      <c r="C32" s="63"/>
      <c r="D32" s="63"/>
      <c r="E32" s="63"/>
      <c r="F32" s="63"/>
      <c r="G32" s="63"/>
      <c r="H32" s="32"/>
      <c r="I32" s="32"/>
      <c r="J32" s="32"/>
      <c r="K32" s="32"/>
    </row>
    <row r="33" spans="1:11" ht="21.75" customHeight="1" x14ac:dyDescent="0.25">
      <c r="A33" s="44">
        <v>9</v>
      </c>
      <c r="B33" s="21" t="s">
        <v>169</v>
      </c>
      <c r="C33" s="63">
        <v>1969.48</v>
      </c>
      <c r="D33" s="63">
        <v>2177.7199999999998</v>
      </c>
      <c r="E33" s="63">
        <v>2601.4699999999998</v>
      </c>
      <c r="F33" s="63">
        <v>2059.5500000000002</v>
      </c>
      <c r="G33" s="63">
        <v>490.66</v>
      </c>
      <c r="H33" s="32"/>
      <c r="I33" s="32"/>
      <c r="J33" s="32"/>
      <c r="K33" s="32"/>
    </row>
    <row r="34" spans="1:11" ht="21.75" customHeight="1" x14ac:dyDescent="0.25">
      <c r="A34" s="44">
        <v>10</v>
      </c>
      <c r="B34" s="21" t="s">
        <v>32</v>
      </c>
      <c r="C34" s="63">
        <f>+C78</f>
        <v>1859.9726200000002</v>
      </c>
      <c r="D34" s="63">
        <f>+D78</f>
        <v>1925.10968</v>
      </c>
      <c r="E34" s="63">
        <f>+E78</f>
        <v>609.98654072585532</v>
      </c>
      <c r="F34" s="63">
        <f>+F78</f>
        <v>4939.3599999999997</v>
      </c>
      <c r="G34" s="63">
        <f>+G78</f>
        <v>1426.5099999999998</v>
      </c>
      <c r="H34" s="32"/>
      <c r="I34" s="32"/>
      <c r="J34" s="32"/>
      <c r="K34" s="32"/>
    </row>
    <row r="35" spans="1:11" ht="21.75" customHeight="1" x14ac:dyDescent="0.25">
      <c r="A35" s="60">
        <v>11</v>
      </c>
      <c r="B35" s="34" t="s">
        <v>168</v>
      </c>
      <c r="C35" s="66">
        <f>+C7+C11+C12+C13+C22+C30+C31+C32+C33+C34</f>
        <v>9873.3042685550499</v>
      </c>
      <c r="D35" s="66">
        <f t="shared" ref="D35:G35" si="1">+D7+D11+D12+D13+D22+D30+D31+D32+D33+D34</f>
        <v>9730.8696799999998</v>
      </c>
      <c r="E35" s="66">
        <f t="shared" si="1"/>
        <v>8682.0962207258544</v>
      </c>
      <c r="F35" s="66">
        <f t="shared" si="1"/>
        <v>12767.4</v>
      </c>
      <c r="G35" s="66">
        <f t="shared" si="1"/>
        <v>9505.2799999999988</v>
      </c>
      <c r="H35" s="32"/>
      <c r="I35" s="32"/>
      <c r="J35" s="32"/>
      <c r="K35" s="32"/>
    </row>
    <row r="36" spans="1:11" ht="21.75" customHeight="1" x14ac:dyDescent="0.25">
      <c r="A36" s="81">
        <v>12</v>
      </c>
      <c r="B36" s="21" t="s">
        <v>34</v>
      </c>
      <c r="C36" s="63">
        <v>9.8000000000000007</v>
      </c>
      <c r="D36" s="63">
        <f>411.98+2.87</f>
        <v>414.85</v>
      </c>
      <c r="E36" s="63">
        <f>96.58+3.06</f>
        <v>99.64</v>
      </c>
      <c r="F36" s="63">
        <f>52.43+0.11</f>
        <v>52.54</v>
      </c>
      <c r="G36" s="63">
        <v>12.36</v>
      </c>
      <c r="H36" s="32"/>
      <c r="I36" s="32"/>
      <c r="J36" s="32"/>
      <c r="K36" s="32"/>
    </row>
    <row r="37" spans="1:11" ht="21.75" customHeight="1" x14ac:dyDescent="0.25">
      <c r="A37" s="81">
        <v>13</v>
      </c>
      <c r="B37" s="21" t="s">
        <v>35</v>
      </c>
      <c r="C37" s="63">
        <f>+C35-C36</f>
        <v>9863.5042685550507</v>
      </c>
      <c r="D37" s="63">
        <f t="shared" ref="D37:G37" si="2">+D35-D36</f>
        <v>9316.0196799999994</v>
      </c>
      <c r="E37" s="63">
        <f t="shared" si="2"/>
        <v>8582.456220725855</v>
      </c>
      <c r="F37" s="63">
        <f t="shared" si="2"/>
        <v>12714.859999999999</v>
      </c>
      <c r="G37" s="63">
        <f t="shared" si="2"/>
        <v>9492.9199999999983</v>
      </c>
      <c r="H37" s="32"/>
      <c r="I37" s="32"/>
      <c r="J37" s="32"/>
      <c r="K37" s="32"/>
    </row>
    <row r="38" spans="1:11" ht="48" customHeight="1" x14ac:dyDescent="0.25">
      <c r="A38" s="81">
        <v>14</v>
      </c>
      <c r="B38" s="39" t="s">
        <v>36</v>
      </c>
      <c r="C38" s="68"/>
      <c r="D38" s="68"/>
      <c r="E38" s="68"/>
      <c r="F38" s="68"/>
      <c r="G38" s="68"/>
      <c r="H38" s="32"/>
      <c r="I38" s="32"/>
      <c r="J38" s="32"/>
      <c r="K38" s="32"/>
    </row>
    <row r="39" spans="1:11" ht="21.75" customHeight="1" x14ac:dyDescent="0.25">
      <c r="A39" s="21"/>
      <c r="B39" s="21"/>
      <c r="C39" s="63"/>
      <c r="D39" s="63"/>
      <c r="E39" s="63"/>
      <c r="F39" s="63"/>
      <c r="G39" s="63"/>
      <c r="H39" s="32"/>
      <c r="I39" s="32"/>
      <c r="J39" s="32"/>
      <c r="K39" s="32"/>
    </row>
    <row r="40" spans="1:11" x14ac:dyDescent="0.25">
      <c r="A40" s="77" t="s">
        <v>158</v>
      </c>
      <c r="B40" s="4"/>
      <c r="C40" s="4"/>
      <c r="D40" s="4"/>
      <c r="E40" s="4"/>
      <c r="F40" s="6"/>
      <c r="G40" s="4"/>
    </row>
    <row r="41" spans="1:11" ht="45" x14ac:dyDescent="0.25">
      <c r="A41" s="73"/>
      <c r="B41" s="74" t="s">
        <v>160</v>
      </c>
      <c r="C41" s="75"/>
      <c r="D41" s="75"/>
      <c r="E41" s="75"/>
      <c r="F41" s="76"/>
      <c r="G41" s="52">
        <v>234.51</v>
      </c>
      <c r="H41" s="32"/>
      <c r="I41" s="32"/>
      <c r="J41" s="32"/>
      <c r="K41" s="32"/>
    </row>
    <row r="42" spans="1:11" x14ac:dyDescent="0.25">
      <c r="A42" s="85"/>
      <c r="B42" s="86"/>
      <c r="C42" s="26"/>
      <c r="D42" s="26"/>
      <c r="E42" s="26"/>
      <c r="F42" s="15"/>
      <c r="G42" s="26"/>
      <c r="H42" s="32"/>
      <c r="I42" s="32"/>
      <c r="J42" s="32"/>
      <c r="K42" s="32"/>
    </row>
    <row r="43" spans="1:11" x14ac:dyDescent="0.25">
      <c r="A43" s="148" t="s">
        <v>46</v>
      </c>
      <c r="B43" s="148"/>
      <c r="C43" s="148"/>
      <c r="D43" s="148"/>
      <c r="E43" s="148"/>
      <c r="F43" s="148"/>
      <c r="G43" s="148"/>
      <c r="H43" s="32"/>
      <c r="I43" s="32"/>
      <c r="J43" s="32"/>
      <c r="K43" s="32"/>
    </row>
    <row r="44" spans="1:11" x14ac:dyDescent="0.25">
      <c r="A44" s="21" t="s">
        <v>37</v>
      </c>
      <c r="B44" s="62" t="s">
        <v>0</v>
      </c>
      <c r="C44" s="66" t="s">
        <v>45</v>
      </c>
      <c r="D44" s="66" t="s">
        <v>44</v>
      </c>
      <c r="E44" s="66" t="s">
        <v>38</v>
      </c>
      <c r="F44" s="66" t="s">
        <v>39</v>
      </c>
      <c r="G44" s="66" t="s">
        <v>43</v>
      </c>
      <c r="H44" s="32"/>
      <c r="I44" s="32"/>
      <c r="J44" s="32"/>
      <c r="K44" s="32"/>
    </row>
    <row r="45" spans="1:11" x14ac:dyDescent="0.25">
      <c r="A45" s="44">
        <v>1</v>
      </c>
      <c r="B45" s="21" t="s">
        <v>47</v>
      </c>
      <c r="C45" s="63">
        <v>8.8953900000000008</v>
      </c>
      <c r="D45" s="63">
        <v>10.24</v>
      </c>
      <c r="E45" s="63"/>
      <c r="F45" s="63">
        <v>9.31</v>
      </c>
      <c r="G45" s="63">
        <v>20.260000000000002</v>
      </c>
      <c r="H45" s="32"/>
      <c r="I45" s="32"/>
      <c r="J45" s="32"/>
      <c r="K45" s="32"/>
    </row>
    <row r="46" spans="1:11" x14ac:dyDescent="0.25">
      <c r="A46" s="44">
        <v>2</v>
      </c>
      <c r="B46" s="21" t="s">
        <v>50</v>
      </c>
      <c r="C46" s="63">
        <v>55.62086</v>
      </c>
      <c r="D46" s="63">
        <v>61.87</v>
      </c>
      <c r="E46" s="63">
        <v>142.66999999999999</v>
      </c>
      <c r="F46" s="63">
        <v>84.42</v>
      </c>
      <c r="G46" s="63">
        <v>49.4</v>
      </c>
      <c r="H46" s="32"/>
      <c r="I46" s="32"/>
      <c r="J46" s="32"/>
      <c r="K46" s="32"/>
    </row>
    <row r="47" spans="1:11" x14ac:dyDescent="0.25">
      <c r="A47" s="44">
        <v>3</v>
      </c>
      <c r="B47" s="21" t="s">
        <v>48</v>
      </c>
      <c r="C47" s="63">
        <v>1119.83799</v>
      </c>
      <c r="D47" s="63">
        <v>122.55</v>
      </c>
      <c r="E47" s="63">
        <v>0.03</v>
      </c>
      <c r="F47" s="63">
        <v>0</v>
      </c>
      <c r="G47" s="63">
        <v>0</v>
      </c>
      <c r="H47" s="32"/>
      <c r="I47" s="32"/>
      <c r="J47" s="32"/>
      <c r="K47" s="32"/>
    </row>
    <row r="48" spans="1:11" x14ac:dyDescent="0.25">
      <c r="A48" s="44">
        <v>4</v>
      </c>
      <c r="B48" s="21" t="s">
        <v>49</v>
      </c>
      <c r="C48" s="63">
        <v>0</v>
      </c>
      <c r="D48" s="63"/>
      <c r="E48" s="63"/>
      <c r="F48" s="63">
        <v>3263.59</v>
      </c>
      <c r="G48" s="63">
        <v>107.37</v>
      </c>
      <c r="H48" s="32"/>
      <c r="I48" s="32"/>
      <c r="J48" s="32"/>
      <c r="K48" s="32"/>
    </row>
    <row r="49" spans="1:11" x14ac:dyDescent="0.25">
      <c r="A49" s="44">
        <v>5</v>
      </c>
      <c r="B49" s="21" t="s">
        <v>92</v>
      </c>
      <c r="C49" s="63">
        <v>262.27</v>
      </c>
      <c r="D49" s="63">
        <v>208.54</v>
      </c>
      <c r="E49" s="63">
        <v>133.24</v>
      </c>
      <c r="F49" s="69">
        <v>36.24</v>
      </c>
      <c r="G49" s="63"/>
      <c r="H49" s="32"/>
      <c r="I49" s="32"/>
      <c r="J49" s="32"/>
      <c r="K49" s="32"/>
    </row>
    <row r="50" spans="1:11" x14ac:dyDescent="0.25">
      <c r="A50" s="44">
        <v>6</v>
      </c>
      <c r="B50" s="21" t="s">
        <v>52</v>
      </c>
      <c r="C50" s="63">
        <v>3.1023999999999998</v>
      </c>
      <c r="D50" s="63">
        <v>3.21</v>
      </c>
      <c r="E50" s="63">
        <v>4.13</v>
      </c>
      <c r="F50" s="69">
        <v>3.34</v>
      </c>
      <c r="G50" s="63">
        <v>0.77</v>
      </c>
      <c r="H50" s="32"/>
      <c r="I50" s="32"/>
      <c r="J50" s="32"/>
      <c r="K50" s="32"/>
    </row>
    <row r="51" spans="1:11" x14ac:dyDescent="0.25">
      <c r="A51" s="44">
        <v>7</v>
      </c>
      <c r="B51" s="21" t="s">
        <v>53</v>
      </c>
      <c r="C51" s="63">
        <v>2.62365</v>
      </c>
      <c r="D51" s="63">
        <v>0.24</v>
      </c>
      <c r="E51" s="63">
        <v>0.99</v>
      </c>
      <c r="F51" s="63">
        <v>5.15</v>
      </c>
      <c r="G51" s="63">
        <v>2.5</v>
      </c>
      <c r="H51" s="32"/>
      <c r="I51" s="32"/>
      <c r="J51" s="32"/>
      <c r="K51" s="32"/>
    </row>
    <row r="52" spans="1:11" x14ac:dyDescent="0.25">
      <c r="A52" s="44">
        <v>8</v>
      </c>
      <c r="B52" s="21" t="s">
        <v>54</v>
      </c>
      <c r="C52" s="63">
        <v>0.11600000000000001</v>
      </c>
      <c r="D52" s="63">
        <v>0.15</v>
      </c>
      <c r="E52" s="63">
        <v>0.11</v>
      </c>
      <c r="F52" s="63"/>
      <c r="G52" s="63"/>
      <c r="H52" s="32"/>
      <c r="I52" s="32"/>
      <c r="J52" s="32"/>
      <c r="K52" s="32"/>
    </row>
    <row r="53" spans="1:11" x14ac:dyDescent="0.25">
      <c r="A53" s="44">
        <v>9</v>
      </c>
      <c r="B53" s="21" t="s">
        <v>67</v>
      </c>
      <c r="C53" s="63">
        <v>2.3212700000000002</v>
      </c>
      <c r="D53" s="63">
        <v>1</v>
      </c>
      <c r="E53" s="63">
        <v>5.59</v>
      </c>
      <c r="F53" s="63">
        <v>3.37</v>
      </c>
      <c r="G53" s="69">
        <v>4.59</v>
      </c>
      <c r="H53" s="32"/>
      <c r="I53" s="32"/>
      <c r="J53" s="32"/>
      <c r="K53" s="32"/>
    </row>
    <row r="54" spans="1:11" x14ac:dyDescent="0.25">
      <c r="A54" s="44">
        <v>10</v>
      </c>
      <c r="B54" s="21" t="s">
        <v>66</v>
      </c>
      <c r="C54" s="63">
        <v>0</v>
      </c>
      <c r="D54" s="63"/>
      <c r="E54" s="63"/>
      <c r="F54" s="63"/>
      <c r="G54" s="63"/>
      <c r="H54" s="32"/>
      <c r="I54" s="32"/>
      <c r="J54" s="32"/>
      <c r="K54" s="32"/>
    </row>
    <row r="55" spans="1:11" x14ac:dyDescent="0.25">
      <c r="A55" s="44">
        <v>11</v>
      </c>
      <c r="B55" s="42" t="s">
        <v>81</v>
      </c>
      <c r="C55" s="63">
        <v>205.39830000000001</v>
      </c>
      <c r="D55" s="63">
        <v>316.77999999999997</v>
      </c>
      <c r="E55" s="63">
        <v>226.95</v>
      </c>
      <c r="F55" s="63">
        <v>187.76</v>
      </c>
      <c r="G55" s="63">
        <v>192.46</v>
      </c>
      <c r="H55" s="32"/>
      <c r="I55" s="32"/>
      <c r="J55" s="32"/>
      <c r="K55" s="32"/>
    </row>
    <row r="56" spans="1:11" x14ac:dyDescent="0.25">
      <c r="A56" s="44">
        <v>12</v>
      </c>
      <c r="B56" s="42" t="s">
        <v>82</v>
      </c>
      <c r="C56" s="63">
        <v>43.51</v>
      </c>
      <c r="D56" s="63">
        <v>107.56</v>
      </c>
      <c r="E56" s="63">
        <v>16.57</v>
      </c>
      <c r="F56" s="63"/>
      <c r="G56" s="63">
        <v>223.59</v>
      </c>
      <c r="H56" s="32"/>
      <c r="I56" s="32"/>
      <c r="J56" s="32"/>
      <c r="K56" s="32"/>
    </row>
    <row r="57" spans="1:11" x14ac:dyDescent="0.25">
      <c r="A57" s="44">
        <v>13</v>
      </c>
      <c r="B57" s="42" t="s">
        <v>83</v>
      </c>
      <c r="C57" s="63">
        <v>11.464180000000001</v>
      </c>
      <c r="D57" s="63">
        <v>31.7</v>
      </c>
      <c r="E57" s="63"/>
      <c r="F57" s="63"/>
      <c r="G57" s="63"/>
      <c r="H57" s="32"/>
      <c r="I57" s="32"/>
      <c r="J57" s="32"/>
      <c r="K57" s="32"/>
    </row>
    <row r="58" spans="1:11" x14ac:dyDescent="0.25">
      <c r="A58" s="44">
        <v>14</v>
      </c>
      <c r="B58" s="21" t="s">
        <v>84</v>
      </c>
      <c r="C58" s="63">
        <v>29.819999999999997</v>
      </c>
      <c r="D58" s="63">
        <v>32.89</v>
      </c>
      <c r="E58" s="63">
        <v>32.080000000000005</v>
      </c>
      <c r="F58" s="63">
        <v>29.099999999999998</v>
      </c>
      <c r="G58" s="63">
        <v>12.88</v>
      </c>
      <c r="H58" s="32"/>
      <c r="I58" s="32"/>
      <c r="J58" s="32"/>
      <c r="K58" s="32"/>
    </row>
    <row r="59" spans="1:11" x14ac:dyDescent="0.25">
      <c r="A59" s="44">
        <v>15</v>
      </c>
      <c r="B59" s="21" t="s">
        <v>85</v>
      </c>
      <c r="C59" s="63">
        <v>102.37</v>
      </c>
      <c r="D59" s="63">
        <v>108.28</v>
      </c>
      <c r="E59" s="63">
        <v>226.91</v>
      </c>
      <c r="F59" s="63">
        <v>313.54000000000002</v>
      </c>
      <c r="G59" s="63">
        <v>162.12</v>
      </c>
      <c r="H59" s="32"/>
      <c r="I59" s="32"/>
      <c r="J59" s="32"/>
      <c r="K59" s="32"/>
    </row>
    <row r="60" spans="1:11" x14ac:dyDescent="0.25">
      <c r="A60" s="44">
        <v>16</v>
      </c>
      <c r="B60" s="21" t="s">
        <v>89</v>
      </c>
      <c r="C60" s="63"/>
      <c r="D60" s="63"/>
      <c r="E60" s="63"/>
      <c r="F60" s="63">
        <v>603.20000000000005</v>
      </c>
      <c r="G60" s="63">
        <v>8.73</v>
      </c>
      <c r="H60" s="32"/>
      <c r="I60" s="32"/>
      <c r="J60" s="32"/>
      <c r="K60" s="32"/>
    </row>
    <row r="61" spans="1:11" x14ac:dyDescent="0.25">
      <c r="A61" s="44">
        <v>17</v>
      </c>
      <c r="B61" s="21" t="s">
        <v>69</v>
      </c>
      <c r="C61" s="63">
        <v>139.12814</v>
      </c>
      <c r="D61" s="63">
        <v>159.38</v>
      </c>
      <c r="E61" s="63">
        <v>164.02</v>
      </c>
      <c r="F61" s="63">
        <v>177.16</v>
      </c>
      <c r="G61" s="69">
        <v>211.15</v>
      </c>
      <c r="H61" s="32"/>
      <c r="I61" s="32"/>
      <c r="J61" s="32"/>
      <c r="K61" s="32"/>
    </row>
    <row r="62" spans="1:11" x14ac:dyDescent="0.25">
      <c r="A62" s="44">
        <v>18</v>
      </c>
      <c r="B62" s="21" t="s">
        <v>68</v>
      </c>
      <c r="C62" s="63">
        <v>4.3537100000000004</v>
      </c>
      <c r="D62" s="63">
        <v>4.7</v>
      </c>
      <c r="E62" s="63">
        <v>5.58</v>
      </c>
      <c r="F62" s="63">
        <v>5.26</v>
      </c>
      <c r="G62" s="63">
        <v>5.16</v>
      </c>
      <c r="H62" s="32"/>
      <c r="I62" s="32"/>
      <c r="J62" s="32"/>
      <c r="K62" s="32"/>
    </row>
    <row r="63" spans="1:11" x14ac:dyDescent="0.25">
      <c r="A63" s="44">
        <v>19</v>
      </c>
      <c r="B63" s="21" t="s">
        <v>55</v>
      </c>
      <c r="C63" s="63">
        <v>0.30326999999999998</v>
      </c>
      <c r="D63" s="63">
        <v>0.46</v>
      </c>
      <c r="E63" s="63">
        <v>0.22</v>
      </c>
      <c r="F63" s="63">
        <v>0.33</v>
      </c>
      <c r="G63" s="63">
        <v>0.13999999999999999</v>
      </c>
      <c r="H63" s="32"/>
      <c r="I63" s="32"/>
      <c r="J63" s="32"/>
      <c r="K63" s="32"/>
    </row>
    <row r="64" spans="1:11" x14ac:dyDescent="0.25">
      <c r="A64" s="44">
        <v>20</v>
      </c>
      <c r="B64" s="21" t="s">
        <v>56</v>
      </c>
      <c r="C64" s="63">
        <v>1.99295</v>
      </c>
      <c r="D64" s="63">
        <v>1.51</v>
      </c>
      <c r="E64" s="63">
        <v>2.35</v>
      </c>
      <c r="F64" s="63">
        <v>1.0900000000000001</v>
      </c>
      <c r="G64" s="63">
        <v>1.81</v>
      </c>
      <c r="H64" s="32"/>
      <c r="I64" s="32"/>
      <c r="J64" s="32"/>
      <c r="K64" s="32"/>
    </row>
    <row r="65" spans="1:11" x14ac:dyDescent="0.25">
      <c r="A65" s="44">
        <v>21</v>
      </c>
      <c r="B65" s="21" t="s">
        <v>141</v>
      </c>
      <c r="C65" s="63"/>
      <c r="D65" s="63"/>
      <c r="E65" s="63"/>
      <c r="F65" s="63">
        <v>0.16</v>
      </c>
      <c r="G65" s="63">
        <v>0.01</v>
      </c>
      <c r="H65" s="32"/>
      <c r="I65" s="32"/>
      <c r="J65" s="32"/>
      <c r="K65" s="32"/>
    </row>
    <row r="66" spans="1:11" x14ac:dyDescent="0.25">
      <c r="A66" s="44">
        <v>22</v>
      </c>
      <c r="B66" s="21" t="s">
        <v>58</v>
      </c>
      <c r="C66" s="63">
        <v>0.36569000000000002</v>
      </c>
      <c r="D66" s="63">
        <v>0.23</v>
      </c>
      <c r="E66" s="63">
        <v>0.36</v>
      </c>
      <c r="F66" s="63">
        <v>0.36</v>
      </c>
      <c r="G66" s="69">
        <v>0.21</v>
      </c>
      <c r="H66" s="32"/>
      <c r="I66" s="32"/>
      <c r="J66" s="32"/>
      <c r="K66" s="32"/>
    </row>
    <row r="67" spans="1:11" x14ac:dyDescent="0.25">
      <c r="A67" s="44">
        <v>23</v>
      </c>
      <c r="B67" s="21" t="s">
        <v>59</v>
      </c>
      <c r="C67" s="63">
        <v>152.02722</v>
      </c>
      <c r="D67" s="63">
        <v>399.96</v>
      </c>
      <c r="E67" s="63">
        <v>114.39</v>
      </c>
      <c r="F67" s="69">
        <v>131.38999999999999</v>
      </c>
      <c r="G67" s="69">
        <v>173.03</v>
      </c>
      <c r="H67" s="32"/>
      <c r="I67" s="32"/>
      <c r="J67" s="32"/>
      <c r="K67" s="32"/>
    </row>
    <row r="68" spans="1:11" x14ac:dyDescent="0.25">
      <c r="A68" s="44">
        <v>24</v>
      </c>
      <c r="B68" s="21" t="s">
        <v>70</v>
      </c>
      <c r="C68" s="63">
        <v>1.60375</v>
      </c>
      <c r="D68" s="63">
        <v>0.32</v>
      </c>
      <c r="E68" s="63">
        <v>21.57</v>
      </c>
      <c r="F68" s="63">
        <v>11.07</v>
      </c>
      <c r="G68" s="63">
        <v>24.22</v>
      </c>
      <c r="H68" s="32"/>
      <c r="I68" s="32"/>
      <c r="J68" s="32"/>
      <c r="K68" s="32"/>
    </row>
    <row r="69" spans="1:11" x14ac:dyDescent="0.25">
      <c r="A69" s="44">
        <v>25</v>
      </c>
      <c r="B69" s="21" t="s">
        <v>88</v>
      </c>
      <c r="C69" s="63"/>
      <c r="D69" s="63"/>
      <c r="E69" s="63">
        <v>7.0000000000000007E-2</v>
      </c>
      <c r="F69" s="63"/>
      <c r="G69" s="63"/>
      <c r="H69" s="32"/>
      <c r="I69" s="32"/>
      <c r="J69" s="32"/>
      <c r="K69" s="32"/>
    </row>
    <row r="70" spans="1:11" x14ac:dyDescent="0.25">
      <c r="A70" s="44">
        <v>26</v>
      </c>
      <c r="B70" s="21" t="s">
        <v>60</v>
      </c>
      <c r="C70" s="63">
        <v>0.10702</v>
      </c>
      <c r="D70" s="63"/>
      <c r="E70" s="63"/>
      <c r="F70" s="63"/>
      <c r="G70" s="63">
        <v>7.03</v>
      </c>
      <c r="H70" s="32"/>
      <c r="I70" s="32"/>
      <c r="J70" s="32"/>
      <c r="K70" s="32"/>
    </row>
    <row r="71" spans="1:11" x14ac:dyDescent="0.25">
      <c r="A71" s="44">
        <v>27</v>
      </c>
      <c r="B71" s="21" t="s">
        <v>61</v>
      </c>
      <c r="C71" s="63">
        <v>5.79</v>
      </c>
      <c r="D71" s="63">
        <v>6.7996800000000004</v>
      </c>
      <c r="E71" s="63">
        <v>5.39</v>
      </c>
      <c r="F71" s="69">
        <v>15.41</v>
      </c>
      <c r="G71" s="63">
        <v>22.35</v>
      </c>
      <c r="H71" s="32"/>
      <c r="I71" s="32"/>
      <c r="J71" s="32"/>
      <c r="K71" s="32"/>
    </row>
    <row r="72" spans="1:11" x14ac:dyDescent="0.25">
      <c r="A72" s="44">
        <v>28</v>
      </c>
      <c r="B72" s="21" t="s">
        <v>62</v>
      </c>
      <c r="C72" s="31">
        <v>7.0202099999999996</v>
      </c>
      <c r="D72" s="63">
        <v>10.8</v>
      </c>
      <c r="E72" s="63">
        <v>10.81</v>
      </c>
      <c r="F72" s="63">
        <v>14.75</v>
      </c>
      <c r="G72" s="63">
        <v>10.81</v>
      </c>
      <c r="H72" s="32"/>
      <c r="I72" s="32"/>
      <c r="J72" s="32"/>
      <c r="K72" s="32"/>
    </row>
    <row r="73" spans="1:11" x14ac:dyDescent="0.25">
      <c r="A73" s="44">
        <v>29</v>
      </c>
      <c r="B73" s="21" t="s">
        <v>64</v>
      </c>
      <c r="C73" s="31">
        <v>0</v>
      </c>
      <c r="D73" s="63">
        <v>0.18</v>
      </c>
      <c r="E73" s="63"/>
      <c r="F73" s="63"/>
      <c r="G73" s="63">
        <v>7.0000000000000007E-2</v>
      </c>
      <c r="H73" s="32"/>
      <c r="I73" s="32"/>
      <c r="J73" s="32"/>
      <c r="K73" s="32"/>
    </row>
    <row r="74" spans="1:11" x14ac:dyDescent="0.25">
      <c r="A74" s="44">
        <v>30</v>
      </c>
      <c r="B74" s="21" t="s">
        <v>65</v>
      </c>
      <c r="C74" s="31">
        <v>13.711180000000001</v>
      </c>
      <c r="D74" s="63">
        <v>23.3</v>
      </c>
      <c r="E74" s="63">
        <v>30.81</v>
      </c>
      <c r="F74" s="63">
        <v>25.540000000000003</v>
      </c>
      <c r="G74" s="69">
        <v>52.21</v>
      </c>
      <c r="H74" s="32"/>
      <c r="I74" s="32"/>
      <c r="J74" s="32"/>
      <c r="K74" s="32"/>
    </row>
    <row r="75" spans="1:11" x14ac:dyDescent="0.25">
      <c r="A75" s="44">
        <v>31</v>
      </c>
      <c r="B75" s="21" t="s">
        <v>140</v>
      </c>
      <c r="C75" s="63"/>
      <c r="D75" s="63">
        <v>1.99</v>
      </c>
      <c r="E75" s="63">
        <v>0.28000000000000003</v>
      </c>
      <c r="F75" s="63"/>
      <c r="G75" s="63">
        <v>112.78</v>
      </c>
      <c r="H75" s="32"/>
      <c r="I75" s="32"/>
      <c r="J75" s="32"/>
      <c r="K75" s="32"/>
    </row>
    <row r="76" spans="1:11" x14ac:dyDescent="0.25">
      <c r="A76" s="44">
        <v>32</v>
      </c>
      <c r="B76" s="21" t="s">
        <v>19</v>
      </c>
      <c r="C76" s="31">
        <v>20.439439999999998</v>
      </c>
      <c r="D76" s="31">
        <v>20.82</v>
      </c>
      <c r="E76" s="31">
        <v>18.420000000000002</v>
      </c>
      <c r="F76" s="31">
        <v>17.82</v>
      </c>
      <c r="G76" s="31">
        <v>20.86</v>
      </c>
      <c r="H76" s="32"/>
      <c r="I76" s="32"/>
      <c r="J76" s="32"/>
      <c r="K76" s="32"/>
    </row>
    <row r="77" spans="1:11" x14ac:dyDescent="0.25">
      <c r="A77" s="44">
        <v>33</v>
      </c>
      <c r="B77" s="21" t="s">
        <v>30</v>
      </c>
      <c r="C77" s="63">
        <v>-334.21999999999997</v>
      </c>
      <c r="D77" s="63">
        <v>289.64999999999998</v>
      </c>
      <c r="E77" s="63">
        <v>-553.55345927414487</v>
      </c>
      <c r="F77" s="63"/>
      <c r="G77" s="63"/>
      <c r="H77" s="32"/>
      <c r="I77" s="32"/>
      <c r="J77" s="32"/>
      <c r="K77" s="32"/>
    </row>
    <row r="78" spans="1:11" x14ac:dyDescent="0.25">
      <c r="A78" s="149" t="s">
        <v>72</v>
      </c>
      <c r="B78" s="149"/>
      <c r="C78" s="63">
        <f>SUM(C45:C77)</f>
        <v>1859.9726200000002</v>
      </c>
      <c r="D78" s="63">
        <f t="shared" ref="D78:G78" si="3">SUM(D45:D77)</f>
        <v>1925.10968</v>
      </c>
      <c r="E78" s="63">
        <f t="shared" si="3"/>
        <v>609.98654072585532</v>
      </c>
      <c r="F78" s="63">
        <f t="shared" si="3"/>
        <v>4939.3599999999997</v>
      </c>
      <c r="G78" s="63">
        <f t="shared" si="3"/>
        <v>1426.5099999999998</v>
      </c>
      <c r="H78" s="32"/>
      <c r="I78" s="32"/>
      <c r="J78" s="32"/>
      <c r="K78" s="32"/>
    </row>
    <row r="79" spans="1:11" x14ac:dyDescent="0.25">
      <c r="H79" s="32"/>
      <c r="I79" s="32"/>
      <c r="J79" s="32"/>
      <c r="K79" s="32"/>
    </row>
    <row r="80" spans="1:11" x14ac:dyDescent="0.25">
      <c r="H80" s="32"/>
      <c r="I80" s="32"/>
      <c r="J80" s="32"/>
      <c r="K80" s="32"/>
    </row>
    <row r="81" spans="1:11" x14ac:dyDescent="0.25">
      <c r="A81" s="148" t="s">
        <v>86</v>
      </c>
      <c r="B81" s="148"/>
      <c r="C81" s="148"/>
      <c r="D81" s="148"/>
      <c r="E81" s="148"/>
      <c r="F81" s="148"/>
      <c r="G81" s="148"/>
      <c r="H81" s="32"/>
      <c r="I81" s="32"/>
      <c r="J81" s="32"/>
      <c r="K81" s="32"/>
    </row>
    <row r="82" spans="1:11" x14ac:dyDescent="0.25">
      <c r="A82" s="34" t="s">
        <v>37</v>
      </c>
      <c r="B82" s="43" t="s">
        <v>0</v>
      </c>
      <c r="C82" s="66" t="s">
        <v>45</v>
      </c>
      <c r="D82" s="66" t="s">
        <v>44</v>
      </c>
      <c r="E82" s="66" t="s">
        <v>38</v>
      </c>
      <c r="F82" s="66" t="s">
        <v>39</v>
      </c>
      <c r="G82" s="66" t="s">
        <v>43</v>
      </c>
      <c r="H82" s="32"/>
      <c r="I82" s="32"/>
      <c r="J82" s="32"/>
      <c r="K82" s="32"/>
    </row>
    <row r="83" spans="1:11" x14ac:dyDescent="0.25">
      <c r="A83" s="44">
        <v>1</v>
      </c>
      <c r="B83" s="21" t="s">
        <v>73</v>
      </c>
      <c r="C83" s="31">
        <v>174.93</v>
      </c>
      <c r="D83" s="31">
        <v>193.59</v>
      </c>
      <c r="E83" s="31">
        <v>231.67999999999998</v>
      </c>
      <c r="F83" s="31">
        <v>216.43</v>
      </c>
      <c r="G83" s="31">
        <v>326.85000000000002</v>
      </c>
      <c r="H83" s="32"/>
      <c r="I83" s="32"/>
      <c r="J83" s="32"/>
      <c r="K83" s="32"/>
    </row>
    <row r="84" spans="1:11" x14ac:dyDescent="0.25">
      <c r="A84" s="44">
        <v>2</v>
      </c>
      <c r="B84" s="21" t="s">
        <v>74</v>
      </c>
      <c r="C84" s="31">
        <v>108.81218</v>
      </c>
      <c r="D84" s="63">
        <v>124.19</v>
      </c>
      <c r="E84" s="63">
        <v>134.38999999999999</v>
      </c>
      <c r="F84" s="63">
        <v>107.53</v>
      </c>
      <c r="G84" s="63">
        <v>125.46</v>
      </c>
      <c r="H84" s="32"/>
      <c r="I84" s="32"/>
      <c r="J84" s="32"/>
      <c r="K84" s="32"/>
    </row>
    <row r="85" spans="1:11" x14ac:dyDescent="0.25">
      <c r="A85" s="44">
        <v>3</v>
      </c>
      <c r="B85" s="21" t="s">
        <v>75</v>
      </c>
      <c r="C85" s="31">
        <v>0</v>
      </c>
      <c r="D85" s="63">
        <v>0</v>
      </c>
      <c r="E85" s="63"/>
      <c r="F85" s="63">
        <v>0.11</v>
      </c>
      <c r="G85" s="63">
        <v>0.33</v>
      </c>
      <c r="H85" s="32"/>
      <c r="I85" s="32"/>
      <c r="J85" s="32"/>
      <c r="K85" s="32"/>
    </row>
    <row r="86" spans="1:11" x14ac:dyDescent="0.25">
      <c r="A86" s="44">
        <v>4</v>
      </c>
      <c r="B86" s="21" t="s">
        <v>76</v>
      </c>
      <c r="C86" s="31">
        <v>0</v>
      </c>
      <c r="D86" s="63">
        <v>3.51</v>
      </c>
      <c r="E86" s="63"/>
      <c r="F86" s="63">
        <v>4.97</v>
      </c>
      <c r="G86" s="63">
        <v>0.01</v>
      </c>
      <c r="H86" s="32"/>
      <c r="I86" s="32"/>
      <c r="J86" s="32"/>
      <c r="K86" s="32"/>
    </row>
    <row r="87" spans="1:11" x14ac:dyDescent="0.25">
      <c r="A87" s="44">
        <v>5</v>
      </c>
      <c r="B87" s="21" t="s">
        <v>77</v>
      </c>
      <c r="C87" s="31">
        <v>56.109970000000004</v>
      </c>
      <c r="D87" s="63">
        <v>34.74</v>
      </c>
      <c r="E87" s="63">
        <v>52.99</v>
      </c>
      <c r="F87" s="63">
        <v>72.069999999999993</v>
      </c>
      <c r="G87" s="63">
        <v>28.380000000000003</v>
      </c>
      <c r="H87" s="32"/>
      <c r="I87" s="32"/>
      <c r="J87" s="32"/>
      <c r="K87" s="32"/>
    </row>
    <row r="88" spans="1:11" x14ac:dyDescent="0.25">
      <c r="A88" s="44">
        <v>6</v>
      </c>
      <c r="B88" s="21" t="s">
        <v>78</v>
      </c>
      <c r="C88" s="31">
        <v>2.9899999999999999E-2</v>
      </c>
      <c r="D88" s="63">
        <v>0</v>
      </c>
      <c r="E88" s="63"/>
      <c r="F88" s="63">
        <v>0</v>
      </c>
      <c r="G88" s="63">
        <v>3.46</v>
      </c>
      <c r="H88" s="32"/>
      <c r="I88" s="32"/>
      <c r="J88" s="32"/>
      <c r="K88" s="32"/>
    </row>
    <row r="89" spans="1:11" x14ac:dyDescent="0.25">
      <c r="A89" s="44">
        <v>7</v>
      </c>
      <c r="B89" s="21" t="s">
        <v>79</v>
      </c>
      <c r="C89" s="31">
        <v>0</v>
      </c>
      <c r="D89" s="63"/>
      <c r="E89" s="69"/>
      <c r="F89" s="63"/>
      <c r="G89" s="63">
        <v>2.2799999999999998</v>
      </c>
      <c r="H89" s="32"/>
      <c r="I89" s="32"/>
      <c r="J89" s="32"/>
      <c r="K89" s="32"/>
    </row>
    <row r="90" spans="1:11" x14ac:dyDescent="0.25">
      <c r="A90" s="44">
        <v>8</v>
      </c>
      <c r="B90" s="21" t="s">
        <v>80</v>
      </c>
      <c r="C90" s="31">
        <v>0</v>
      </c>
      <c r="D90" s="63">
        <v>8</v>
      </c>
      <c r="E90" s="69">
        <v>48.5</v>
      </c>
      <c r="F90" s="63">
        <v>10</v>
      </c>
      <c r="G90" s="63">
        <v>13</v>
      </c>
      <c r="H90" s="32"/>
      <c r="I90" s="32"/>
      <c r="J90" s="32"/>
      <c r="K90" s="32"/>
    </row>
    <row r="91" spans="1:11" x14ac:dyDescent="0.25">
      <c r="A91" s="44">
        <v>9</v>
      </c>
      <c r="B91" s="21" t="s">
        <v>94</v>
      </c>
      <c r="C91" s="31">
        <v>9.91</v>
      </c>
      <c r="D91" s="63">
        <v>8.73</v>
      </c>
      <c r="E91" s="69">
        <v>8.32</v>
      </c>
      <c r="F91" s="63"/>
      <c r="G91" s="63"/>
      <c r="H91" s="32"/>
      <c r="I91" s="32"/>
      <c r="J91" s="32"/>
      <c r="K91" s="32"/>
    </row>
    <row r="92" spans="1:11" x14ac:dyDescent="0.25">
      <c r="A92" s="44">
        <v>10</v>
      </c>
      <c r="B92" s="21" t="s">
        <v>95</v>
      </c>
      <c r="C92" s="31">
        <v>0.27</v>
      </c>
      <c r="D92" s="63">
        <v>0.87</v>
      </c>
      <c r="E92" s="69">
        <v>0.56000000000000005</v>
      </c>
      <c r="F92" s="63">
        <v>1.3</v>
      </c>
      <c r="G92" s="63">
        <v>6.04</v>
      </c>
      <c r="H92" s="32"/>
      <c r="I92" s="32"/>
      <c r="J92" s="32"/>
      <c r="K92" s="32"/>
    </row>
    <row r="93" spans="1:11" x14ac:dyDescent="0.25">
      <c r="A93" s="44">
        <v>11</v>
      </c>
      <c r="B93" s="42" t="s">
        <v>139</v>
      </c>
      <c r="C93" s="63"/>
      <c r="D93" s="63"/>
      <c r="E93" s="63"/>
      <c r="F93" s="63"/>
      <c r="G93" s="63">
        <v>0.56000000000000005</v>
      </c>
      <c r="H93" s="32"/>
      <c r="I93" s="32"/>
      <c r="J93" s="32"/>
      <c r="K93" s="32"/>
    </row>
    <row r="94" spans="1:11" x14ac:dyDescent="0.25">
      <c r="A94" s="146" t="s">
        <v>97</v>
      </c>
      <c r="B94" s="146"/>
      <c r="C94" s="70">
        <f>SUM(C83:C93)</f>
        <v>350.06205000000006</v>
      </c>
      <c r="D94" s="70">
        <f t="shared" ref="D94:G94" si="4">SUM(D83:D93)</f>
        <v>373.63</v>
      </c>
      <c r="E94" s="70">
        <f t="shared" si="4"/>
        <v>476.43999999999994</v>
      </c>
      <c r="F94" s="70">
        <f t="shared" si="4"/>
        <v>412.41000000000008</v>
      </c>
      <c r="G94" s="70">
        <f t="shared" si="4"/>
        <v>506.36999999999995</v>
      </c>
      <c r="H94" s="32"/>
      <c r="I94" s="32"/>
      <c r="J94" s="32"/>
      <c r="K94" s="32"/>
    </row>
    <row r="95" spans="1:11" x14ac:dyDescent="0.25">
      <c r="H95" s="32"/>
      <c r="I95" s="32"/>
      <c r="J95" s="32"/>
      <c r="K95" s="32"/>
    </row>
    <row r="96" spans="1:11" x14ac:dyDescent="0.25">
      <c r="A96" s="4"/>
      <c r="B96" s="26" t="s">
        <v>34</v>
      </c>
      <c r="C96" s="4"/>
      <c r="D96" s="4"/>
      <c r="E96" s="4"/>
      <c r="F96" s="6"/>
      <c r="G96" s="4"/>
    </row>
    <row r="97" spans="1:11" x14ac:dyDescent="0.25">
      <c r="A97" s="1" t="s">
        <v>37</v>
      </c>
      <c r="B97" s="10" t="s">
        <v>0</v>
      </c>
      <c r="C97" s="1" t="s">
        <v>45</v>
      </c>
      <c r="D97" s="1" t="s">
        <v>44</v>
      </c>
      <c r="E97" s="1" t="s">
        <v>38</v>
      </c>
      <c r="F97" s="11" t="s">
        <v>39</v>
      </c>
      <c r="G97" s="1" t="s">
        <v>43</v>
      </c>
      <c r="H97" s="32"/>
      <c r="I97" s="32"/>
      <c r="J97" s="32"/>
      <c r="K97" s="32"/>
    </row>
    <row r="98" spans="1:11" x14ac:dyDescent="0.25">
      <c r="A98" s="5">
        <v>1</v>
      </c>
      <c r="B98" s="5" t="s">
        <v>171</v>
      </c>
      <c r="C98" s="5">
        <v>1.56</v>
      </c>
      <c r="D98" s="5">
        <v>0.63</v>
      </c>
      <c r="E98" s="5">
        <v>0.64</v>
      </c>
      <c r="F98" s="8">
        <v>0.47</v>
      </c>
      <c r="G98" s="5">
        <v>0.28000000000000003</v>
      </c>
      <c r="H98" s="32"/>
      <c r="I98" s="32"/>
      <c r="J98" s="32"/>
      <c r="K98" s="32"/>
    </row>
    <row r="99" spans="1:11" x14ac:dyDescent="0.25">
      <c r="A99" s="5">
        <v>2</v>
      </c>
      <c r="B99" s="5" t="s">
        <v>172</v>
      </c>
      <c r="C99" s="5">
        <v>1.57</v>
      </c>
      <c r="D99" s="5"/>
      <c r="E99" s="5"/>
      <c r="F99" s="8"/>
      <c r="G99" s="5"/>
    </row>
    <row r="100" spans="1:11" x14ac:dyDescent="0.25">
      <c r="A100" s="5">
        <v>3</v>
      </c>
      <c r="B100" s="5" t="s">
        <v>173</v>
      </c>
      <c r="C100" s="5">
        <v>0.03</v>
      </c>
      <c r="D100" s="5"/>
      <c r="E100" s="5">
        <v>0.13</v>
      </c>
      <c r="F100" s="8">
        <v>1.75</v>
      </c>
      <c r="G100" s="5"/>
    </row>
    <row r="101" spans="1:11" x14ac:dyDescent="0.25">
      <c r="A101" s="5">
        <v>4</v>
      </c>
      <c r="B101" s="5" t="s">
        <v>183</v>
      </c>
      <c r="C101" s="5"/>
      <c r="D101" s="5"/>
      <c r="E101" s="5"/>
      <c r="F101" s="8"/>
      <c r="G101" s="8">
        <v>0.5</v>
      </c>
      <c r="H101" s="32"/>
      <c r="I101" s="32"/>
      <c r="J101" s="32"/>
      <c r="K101" s="32"/>
    </row>
    <row r="102" spans="1:11" x14ac:dyDescent="0.25">
      <c r="A102" s="5">
        <v>5</v>
      </c>
      <c r="B102" s="5" t="s">
        <v>175</v>
      </c>
      <c r="C102" s="5"/>
      <c r="D102" s="5"/>
      <c r="E102" s="5"/>
      <c r="F102" s="8">
        <v>24.72</v>
      </c>
      <c r="G102" s="5"/>
      <c r="H102" s="32"/>
      <c r="I102" s="32"/>
      <c r="J102" s="32"/>
      <c r="K102" s="32"/>
    </row>
    <row r="103" spans="1:11" ht="30" x14ac:dyDescent="0.25">
      <c r="A103" s="5">
        <v>6</v>
      </c>
      <c r="B103" s="9" t="s">
        <v>189</v>
      </c>
      <c r="C103" s="5">
        <v>6.09</v>
      </c>
      <c r="D103" s="5">
        <v>411.35</v>
      </c>
      <c r="E103" s="5">
        <v>95.81</v>
      </c>
      <c r="F103" s="8">
        <f>0.02+25.47</f>
        <v>25.49</v>
      </c>
      <c r="G103" s="5">
        <v>11.34</v>
      </c>
    </row>
    <row r="104" spans="1:11" x14ac:dyDescent="0.25">
      <c r="A104" s="5">
        <v>7</v>
      </c>
      <c r="B104" s="5" t="s">
        <v>186</v>
      </c>
      <c r="C104" s="5">
        <v>0.55000000000000004</v>
      </c>
      <c r="D104" s="5"/>
      <c r="E104" s="5"/>
      <c r="F104" s="8"/>
      <c r="G104" s="5"/>
    </row>
    <row r="105" spans="1:11" x14ac:dyDescent="0.25">
      <c r="A105" s="5">
        <v>8</v>
      </c>
      <c r="B105" s="5" t="s">
        <v>181</v>
      </c>
      <c r="C105" s="5"/>
      <c r="D105" s="5">
        <v>2.87</v>
      </c>
      <c r="E105" s="5">
        <v>3.06</v>
      </c>
      <c r="F105" s="8">
        <v>0.11</v>
      </c>
      <c r="G105" s="5"/>
    </row>
    <row r="106" spans="1:11" x14ac:dyDescent="0.25">
      <c r="A106" s="5">
        <v>9</v>
      </c>
      <c r="B106" s="5" t="s">
        <v>184</v>
      </c>
      <c r="C106" s="5"/>
      <c r="D106" s="5"/>
      <c r="E106" s="5"/>
      <c r="F106" s="8"/>
      <c r="G106" s="5">
        <v>0.24</v>
      </c>
    </row>
    <row r="107" spans="1:11" x14ac:dyDescent="0.25">
      <c r="A107" s="144" t="s">
        <v>177</v>
      </c>
      <c r="B107" s="145"/>
      <c r="C107" s="8">
        <f>SUM(C98:C105)</f>
        <v>9.8000000000000007</v>
      </c>
      <c r="D107" s="8">
        <f>SUM(D98:D105)</f>
        <v>414.85</v>
      </c>
      <c r="E107" s="8">
        <f>SUM(E98:E105)</f>
        <v>99.64</v>
      </c>
      <c r="F107" s="8">
        <f>SUM(F98:F105)</f>
        <v>52.539999999999992</v>
      </c>
      <c r="G107" s="8">
        <f>SUM(G98:G106)</f>
        <v>12.36</v>
      </c>
    </row>
  </sheetData>
  <mergeCells count="9">
    <mergeCell ref="F1:G1"/>
    <mergeCell ref="A3:G3"/>
    <mergeCell ref="A4:G4"/>
    <mergeCell ref="A107:B107"/>
    <mergeCell ref="A94:B94"/>
    <mergeCell ref="A2:G2"/>
    <mergeCell ref="A43:G43"/>
    <mergeCell ref="A78:B78"/>
    <mergeCell ref="A81:G81"/>
  </mergeCells>
  <pageMargins left="0.7" right="0.3" top="0.75" bottom="0.75" header="0.3" footer="0.3"/>
  <pageSetup paperSize="9" orientation="portrait" horizontalDpi="0" verticalDpi="0" r:id="rId1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Normal="100" workbookViewId="0">
      <selection activeCell="K11" sqref="K11"/>
    </sheetView>
  </sheetViews>
  <sheetFormatPr defaultRowHeight="15" x14ac:dyDescent="0.25"/>
  <cols>
    <col min="1" max="1" width="6" style="32" customWidth="1"/>
    <col min="2" max="2" width="33.28515625" style="32" customWidth="1"/>
    <col min="3" max="5" width="10.140625" style="32" customWidth="1"/>
    <col min="6" max="6" width="9.42578125" style="32" customWidth="1"/>
    <col min="7" max="7" width="10.5703125" style="32" customWidth="1"/>
    <col min="8" max="11" width="9.140625" style="4"/>
    <col min="12" max="16384" width="9.140625" style="32"/>
  </cols>
  <sheetData>
    <row r="1" spans="1:11" x14ac:dyDescent="0.25">
      <c r="F1" s="150" t="s">
        <v>213</v>
      </c>
      <c r="G1" s="150"/>
    </row>
    <row r="2" spans="1:11" x14ac:dyDescent="0.25">
      <c r="A2" s="147" t="s">
        <v>138</v>
      </c>
      <c r="B2" s="147"/>
      <c r="C2" s="147"/>
      <c r="D2" s="147"/>
      <c r="E2" s="147"/>
      <c r="F2" s="147"/>
      <c r="G2" s="147"/>
      <c r="H2" s="32"/>
      <c r="I2" s="32"/>
      <c r="J2" s="32"/>
      <c r="K2" s="32"/>
    </row>
    <row r="3" spans="1:11" x14ac:dyDescent="0.25">
      <c r="A3" s="138" t="s">
        <v>219</v>
      </c>
      <c r="B3" s="138"/>
      <c r="C3" s="138"/>
      <c r="D3" s="138"/>
      <c r="E3" s="138"/>
      <c r="F3" s="138"/>
      <c r="G3" s="138"/>
      <c r="H3" s="32"/>
      <c r="I3" s="32"/>
      <c r="J3" s="32"/>
      <c r="K3" s="32"/>
    </row>
    <row r="4" spans="1:11" x14ac:dyDescent="0.25">
      <c r="A4" s="138" t="s">
        <v>220</v>
      </c>
      <c r="B4" s="138"/>
      <c r="C4" s="138"/>
      <c r="D4" s="138"/>
      <c r="E4" s="138"/>
      <c r="F4" s="138"/>
      <c r="G4" s="138"/>
      <c r="H4" s="32"/>
      <c r="I4" s="32"/>
      <c r="J4" s="32"/>
      <c r="K4" s="32"/>
    </row>
    <row r="5" spans="1:11" x14ac:dyDescent="0.25">
      <c r="G5" s="33" t="s">
        <v>96</v>
      </c>
      <c r="H5" s="32"/>
      <c r="I5" s="32"/>
      <c r="J5" s="32"/>
      <c r="K5" s="32"/>
    </row>
    <row r="6" spans="1:11" x14ac:dyDescent="0.25">
      <c r="A6" s="34" t="s">
        <v>37</v>
      </c>
      <c r="B6" s="34" t="s">
        <v>0</v>
      </c>
      <c r="C6" s="34" t="s">
        <v>45</v>
      </c>
      <c r="D6" s="34" t="s">
        <v>44</v>
      </c>
      <c r="E6" s="34" t="s">
        <v>38</v>
      </c>
      <c r="F6" s="34" t="s">
        <v>39</v>
      </c>
      <c r="G6" s="34" t="s">
        <v>43</v>
      </c>
      <c r="H6" s="32"/>
      <c r="I6" s="32"/>
      <c r="J6" s="32"/>
      <c r="K6" s="32"/>
    </row>
    <row r="7" spans="1:11" x14ac:dyDescent="0.25">
      <c r="A7" s="21">
        <v>1</v>
      </c>
      <c r="B7" s="21" t="s">
        <v>6</v>
      </c>
      <c r="C7" s="21">
        <v>26.32</v>
      </c>
      <c r="D7" s="21">
        <v>73.430000000000007</v>
      </c>
      <c r="E7" s="21">
        <v>6.26</v>
      </c>
      <c r="F7" s="17">
        <v>100.93</v>
      </c>
      <c r="G7" s="21">
        <v>20.309999999999999</v>
      </c>
      <c r="H7" s="32"/>
      <c r="I7" s="32"/>
      <c r="J7" s="32"/>
      <c r="K7" s="32"/>
    </row>
    <row r="8" spans="1:11" x14ac:dyDescent="0.25">
      <c r="A8" s="21">
        <v>2</v>
      </c>
      <c r="B8" s="21" t="s">
        <v>7</v>
      </c>
      <c r="C8" s="17">
        <v>4369.7700000000004</v>
      </c>
      <c r="D8" s="17">
        <v>4518.05</v>
      </c>
      <c r="E8" s="17">
        <v>3128.43</v>
      </c>
      <c r="F8" s="17">
        <v>1822.14</v>
      </c>
      <c r="G8" s="17">
        <v>1879.6799999999998</v>
      </c>
      <c r="H8" s="32"/>
      <c r="I8" s="32"/>
      <c r="J8" s="32"/>
      <c r="K8" s="32"/>
    </row>
    <row r="9" spans="1:11" x14ac:dyDescent="0.25">
      <c r="A9" s="21">
        <v>3</v>
      </c>
      <c r="B9" s="21" t="s">
        <v>8</v>
      </c>
      <c r="C9" s="17">
        <v>254.79275000000001</v>
      </c>
      <c r="D9" s="17">
        <v>227.03498999999999</v>
      </c>
      <c r="E9" s="17">
        <v>206.98</v>
      </c>
      <c r="F9" s="17">
        <v>130.27000000000001</v>
      </c>
      <c r="G9" s="17">
        <v>121.04</v>
      </c>
      <c r="H9" s="32"/>
      <c r="I9" s="32"/>
      <c r="J9" s="32"/>
      <c r="K9" s="32"/>
    </row>
    <row r="10" spans="1:11" x14ac:dyDescent="0.25">
      <c r="A10" s="21">
        <v>4</v>
      </c>
      <c r="B10" s="21" t="s">
        <v>9</v>
      </c>
      <c r="C10" s="31">
        <v>143.97649000000001</v>
      </c>
      <c r="D10" s="31">
        <v>207.80801</v>
      </c>
      <c r="E10" s="31">
        <v>216.65705</v>
      </c>
      <c r="F10" s="31">
        <v>244.59</v>
      </c>
      <c r="G10" s="31">
        <v>252.42</v>
      </c>
      <c r="H10" s="32"/>
      <c r="I10" s="32"/>
      <c r="J10" s="32"/>
      <c r="K10" s="32"/>
    </row>
    <row r="11" spans="1:11" ht="45" x14ac:dyDescent="0.25">
      <c r="A11" s="21">
        <v>4.0999999999999996</v>
      </c>
      <c r="B11" s="35" t="s">
        <v>10</v>
      </c>
      <c r="C11" s="36"/>
      <c r="D11" s="36"/>
      <c r="E11" s="36"/>
      <c r="F11" s="36"/>
      <c r="G11" s="17"/>
      <c r="H11" s="32"/>
      <c r="I11" s="32"/>
      <c r="J11" s="32"/>
      <c r="K11" s="32"/>
    </row>
    <row r="12" spans="1:11" x14ac:dyDescent="0.25">
      <c r="A12" s="21">
        <v>5</v>
      </c>
      <c r="B12" s="21" t="s">
        <v>11</v>
      </c>
      <c r="C12" s="17"/>
      <c r="D12" s="17"/>
      <c r="E12" s="17"/>
      <c r="F12" s="17"/>
      <c r="G12" s="17"/>
      <c r="H12" s="32"/>
      <c r="I12" s="32"/>
      <c r="J12" s="32"/>
      <c r="K12" s="32"/>
    </row>
    <row r="13" spans="1:11" x14ac:dyDescent="0.25">
      <c r="A13" s="21">
        <v>6</v>
      </c>
      <c r="B13" s="34" t="s">
        <v>21</v>
      </c>
      <c r="C13" s="17"/>
      <c r="D13" s="17"/>
      <c r="E13" s="17"/>
      <c r="F13" s="17"/>
      <c r="G13" s="17"/>
      <c r="H13" s="32"/>
      <c r="I13" s="32"/>
      <c r="J13" s="32"/>
      <c r="K13" s="32"/>
    </row>
    <row r="14" spans="1:11" x14ac:dyDescent="0.25">
      <c r="A14" s="21">
        <v>6.1</v>
      </c>
      <c r="B14" s="21" t="s">
        <v>12</v>
      </c>
      <c r="C14" s="17"/>
      <c r="D14" s="17"/>
      <c r="E14" s="17"/>
      <c r="F14" s="17"/>
      <c r="G14" s="17"/>
      <c r="H14" s="32"/>
      <c r="I14" s="32"/>
      <c r="J14" s="32"/>
      <c r="K14" s="32"/>
    </row>
    <row r="15" spans="1:11" x14ac:dyDescent="0.25">
      <c r="A15" s="21">
        <v>6.2</v>
      </c>
      <c r="B15" s="21" t="s">
        <v>13</v>
      </c>
      <c r="C15" s="17">
        <v>77.52</v>
      </c>
      <c r="D15" s="17">
        <v>194.53</v>
      </c>
      <c r="E15" s="17">
        <v>46.41</v>
      </c>
      <c r="F15" s="17">
        <v>53.13</v>
      </c>
      <c r="G15" s="17">
        <v>32.230000000000004</v>
      </c>
      <c r="H15" s="32"/>
      <c r="I15" s="32"/>
      <c r="J15" s="32"/>
      <c r="K15" s="32"/>
    </row>
    <row r="16" spans="1:11" x14ac:dyDescent="0.25">
      <c r="A16" s="21">
        <v>6.3</v>
      </c>
      <c r="B16" s="21" t="s">
        <v>14</v>
      </c>
      <c r="C16" s="17">
        <v>34.461800000000004</v>
      </c>
      <c r="D16" s="17">
        <v>36.729999999999997</v>
      </c>
      <c r="E16" s="17">
        <v>47.029999999999994</v>
      </c>
      <c r="F16" s="17">
        <v>36.869999999999997</v>
      </c>
      <c r="G16" s="17">
        <v>42.62</v>
      </c>
      <c r="H16" s="32"/>
      <c r="I16" s="32"/>
      <c r="J16" s="32"/>
      <c r="K16" s="32"/>
    </row>
    <row r="17" spans="1:11" x14ac:dyDescent="0.25">
      <c r="A17" s="21">
        <v>6.4</v>
      </c>
      <c r="B17" s="21" t="s">
        <v>15</v>
      </c>
      <c r="C17" s="17">
        <v>4.3823499999999997</v>
      </c>
      <c r="D17" s="17">
        <v>4.79</v>
      </c>
      <c r="E17" s="17">
        <v>6.15</v>
      </c>
      <c r="F17" s="17">
        <v>7.43</v>
      </c>
      <c r="G17" s="17">
        <v>7.9300000000000006</v>
      </c>
      <c r="H17" s="32"/>
      <c r="I17" s="32"/>
      <c r="J17" s="32"/>
      <c r="K17" s="32"/>
    </row>
    <row r="18" spans="1:11" x14ac:dyDescent="0.25">
      <c r="A18" s="21">
        <v>6.5</v>
      </c>
      <c r="B18" s="21" t="s">
        <v>16</v>
      </c>
      <c r="C18" s="17">
        <v>16.438459999999999</v>
      </c>
      <c r="D18" s="17">
        <v>2.4300000000000002</v>
      </c>
      <c r="E18" s="17">
        <v>19.489999999999998</v>
      </c>
      <c r="F18" s="17">
        <v>56.35</v>
      </c>
      <c r="G18" s="17">
        <v>36.619999999999997</v>
      </c>
      <c r="H18" s="32"/>
      <c r="I18" s="32"/>
      <c r="J18" s="32"/>
      <c r="K18" s="32"/>
    </row>
    <row r="19" spans="1:11" x14ac:dyDescent="0.25">
      <c r="A19" s="21">
        <v>6.6</v>
      </c>
      <c r="B19" s="21" t="s">
        <v>17</v>
      </c>
      <c r="C19" s="17"/>
      <c r="D19" s="17"/>
      <c r="E19" s="17"/>
      <c r="F19" s="17"/>
      <c r="G19" s="17"/>
      <c r="H19" s="32"/>
      <c r="I19" s="32"/>
      <c r="J19" s="32"/>
      <c r="K19" s="32"/>
    </row>
    <row r="20" spans="1:11" x14ac:dyDescent="0.25">
      <c r="A20" s="21">
        <v>6.7</v>
      </c>
      <c r="B20" s="21" t="s">
        <v>18</v>
      </c>
      <c r="C20" s="17"/>
      <c r="D20" s="17"/>
      <c r="E20" s="17"/>
      <c r="F20" s="17"/>
      <c r="G20" s="17"/>
      <c r="H20" s="32"/>
      <c r="I20" s="32"/>
      <c r="J20" s="32"/>
      <c r="K20" s="32"/>
    </row>
    <row r="21" spans="1:11" x14ac:dyDescent="0.25">
      <c r="A21" s="21">
        <v>6.8</v>
      </c>
      <c r="B21" s="21" t="s">
        <v>41</v>
      </c>
      <c r="C21" s="17">
        <v>0.46700000000000003</v>
      </c>
      <c r="D21" s="17">
        <v>0.47</v>
      </c>
      <c r="E21" s="17">
        <v>0.49</v>
      </c>
      <c r="F21" s="17"/>
      <c r="G21" s="17"/>
      <c r="H21" s="32"/>
      <c r="I21" s="32"/>
      <c r="J21" s="32"/>
      <c r="K21" s="32"/>
    </row>
    <row r="22" spans="1:11" x14ac:dyDescent="0.25">
      <c r="A22" s="21">
        <v>6.9</v>
      </c>
      <c r="B22" s="21" t="s">
        <v>19</v>
      </c>
      <c r="C22" s="17">
        <v>18.71</v>
      </c>
      <c r="D22" s="17">
        <v>18.100000000000001</v>
      </c>
      <c r="E22" s="17">
        <v>13.4</v>
      </c>
      <c r="F22" s="17">
        <v>15.8</v>
      </c>
      <c r="G22" s="17">
        <v>12.8</v>
      </c>
      <c r="H22" s="32"/>
      <c r="I22" s="32"/>
      <c r="J22" s="32"/>
      <c r="K22" s="32"/>
    </row>
    <row r="23" spans="1:11" x14ac:dyDescent="0.25">
      <c r="A23" s="34"/>
      <c r="B23" s="34" t="s">
        <v>20</v>
      </c>
      <c r="C23" s="34">
        <f>SUM(C14:C22)</f>
        <v>151.97961000000001</v>
      </c>
      <c r="D23" s="34">
        <f>SUM(D14:D22)</f>
        <v>257.05</v>
      </c>
      <c r="E23" s="34">
        <f>SUM(E14:E22)</f>
        <v>132.97</v>
      </c>
      <c r="F23" s="34">
        <f>SUM(F14:F22)</f>
        <v>169.58</v>
      </c>
      <c r="G23" s="34">
        <f>SUM(G14:G22)</f>
        <v>132.20000000000002</v>
      </c>
      <c r="H23" s="32"/>
      <c r="I23" s="32"/>
      <c r="J23" s="32"/>
      <c r="K23" s="32"/>
    </row>
    <row r="24" spans="1:11" x14ac:dyDescent="0.25">
      <c r="A24" s="21">
        <v>7</v>
      </c>
      <c r="B24" s="34" t="s">
        <v>22</v>
      </c>
      <c r="C24" s="21"/>
      <c r="D24" s="21"/>
      <c r="E24" s="21"/>
      <c r="F24" s="21"/>
      <c r="G24" s="21"/>
      <c r="H24" s="32"/>
      <c r="I24" s="32"/>
      <c r="J24" s="32"/>
      <c r="K24" s="32"/>
    </row>
    <row r="25" spans="1:11" x14ac:dyDescent="0.25">
      <c r="A25" s="21">
        <v>7.1</v>
      </c>
      <c r="B25" s="21" t="s">
        <v>23</v>
      </c>
      <c r="C25" s="21">
        <v>4671.4390799353587</v>
      </c>
      <c r="D25" s="21">
        <v>3520.44</v>
      </c>
      <c r="E25" s="21">
        <v>3660.13</v>
      </c>
      <c r="F25" s="21">
        <v>3574.87</v>
      </c>
      <c r="G25" s="21">
        <v>5882.7699999999995</v>
      </c>
      <c r="H25" s="32"/>
      <c r="I25" s="32"/>
      <c r="J25" s="32"/>
      <c r="K25" s="32"/>
    </row>
    <row r="26" spans="1:11" x14ac:dyDescent="0.25">
      <c r="A26" s="21">
        <v>7.2</v>
      </c>
      <c r="B26" s="21" t="s">
        <v>24</v>
      </c>
      <c r="C26" s="21">
        <f>+C97</f>
        <v>452.46759000000003</v>
      </c>
      <c r="D26" s="21">
        <f>+D97</f>
        <v>403.91</v>
      </c>
      <c r="E26" s="21">
        <f>+E97</f>
        <v>695.4</v>
      </c>
      <c r="F26" s="21">
        <f>+F97</f>
        <v>632.07122000000004</v>
      </c>
      <c r="G26" s="21">
        <f>+G97</f>
        <v>635.96</v>
      </c>
      <c r="H26" s="32"/>
      <c r="I26" s="32"/>
      <c r="J26" s="32"/>
      <c r="K26" s="32"/>
    </row>
    <row r="27" spans="1:11" x14ac:dyDescent="0.25">
      <c r="A27" s="21">
        <v>7.3</v>
      </c>
      <c r="B27" s="21" t="s">
        <v>25</v>
      </c>
      <c r="C27" s="21"/>
      <c r="D27" s="21"/>
      <c r="E27" s="21"/>
      <c r="F27" s="21"/>
      <c r="G27" s="21"/>
      <c r="H27" s="32"/>
      <c r="I27" s="32"/>
      <c r="J27" s="32"/>
      <c r="K27" s="32"/>
    </row>
    <row r="28" spans="1:11" x14ac:dyDescent="0.25">
      <c r="A28" s="21">
        <v>7.4</v>
      </c>
      <c r="B28" s="21" t="s">
        <v>26</v>
      </c>
      <c r="C28" s="21"/>
      <c r="D28" s="21"/>
      <c r="E28" s="21"/>
      <c r="F28" s="21"/>
      <c r="G28" s="21"/>
      <c r="H28" s="32"/>
      <c r="I28" s="32"/>
      <c r="J28" s="32"/>
      <c r="K28" s="32"/>
    </row>
    <row r="29" spans="1:11" x14ac:dyDescent="0.25">
      <c r="A29" s="21">
        <v>7.5</v>
      </c>
      <c r="B29" s="21" t="s">
        <v>27</v>
      </c>
      <c r="C29" s="21"/>
      <c r="D29" s="21"/>
      <c r="E29" s="21"/>
      <c r="F29" s="21"/>
      <c r="G29" s="21"/>
      <c r="H29" s="32"/>
      <c r="I29" s="32"/>
      <c r="J29" s="32"/>
      <c r="K29" s="32"/>
    </row>
    <row r="30" spans="1:11" x14ac:dyDescent="0.25">
      <c r="A30" s="21">
        <v>7.6</v>
      </c>
      <c r="B30" s="21" t="s">
        <v>42</v>
      </c>
      <c r="C30" s="21">
        <v>198.7</v>
      </c>
      <c r="D30" s="21">
        <v>121.75</v>
      </c>
      <c r="E30" s="21">
        <v>243.02</v>
      </c>
      <c r="F30" s="21">
        <v>251.48999999999998</v>
      </c>
      <c r="G30" s="21">
        <v>171.66</v>
      </c>
      <c r="H30" s="32"/>
      <c r="I30" s="32"/>
      <c r="J30" s="32"/>
      <c r="K30" s="32"/>
    </row>
    <row r="31" spans="1:11" x14ac:dyDescent="0.25">
      <c r="A31" s="34"/>
      <c r="B31" s="34" t="s">
        <v>28</v>
      </c>
      <c r="C31" s="34">
        <f>SUM(C25:C30)</f>
        <v>5322.6066699353587</v>
      </c>
      <c r="D31" s="34">
        <f>SUM(D25:D30)</f>
        <v>4046.1</v>
      </c>
      <c r="E31" s="34">
        <f>SUM(E25:E30)</f>
        <v>4598.55</v>
      </c>
      <c r="F31" s="34">
        <f>SUM(F25:F30)</f>
        <v>4458.4312199999995</v>
      </c>
      <c r="G31" s="34">
        <f>SUM(G25:G30)</f>
        <v>6690.3899999999994</v>
      </c>
      <c r="H31" s="32"/>
      <c r="I31" s="32"/>
      <c r="J31" s="32"/>
      <c r="K31" s="32"/>
    </row>
    <row r="32" spans="1:11" x14ac:dyDescent="0.25">
      <c r="A32" s="21">
        <v>8</v>
      </c>
      <c r="B32" s="21" t="s">
        <v>87</v>
      </c>
      <c r="C32" s="37">
        <v>75.460000000000008</v>
      </c>
      <c r="D32" s="37">
        <v>67.312939999999998</v>
      </c>
      <c r="E32" s="37">
        <v>60.39</v>
      </c>
      <c r="F32" s="37">
        <v>200.96188000000001</v>
      </c>
      <c r="G32" s="37"/>
      <c r="H32" s="32"/>
      <c r="I32" s="32"/>
      <c r="J32" s="32"/>
      <c r="K32" s="32"/>
    </row>
    <row r="33" spans="1:11" x14ac:dyDescent="0.25">
      <c r="A33" s="21">
        <v>9</v>
      </c>
      <c r="B33" s="21" t="s">
        <v>29</v>
      </c>
      <c r="C33" s="21"/>
      <c r="D33" s="21"/>
      <c r="E33" s="21"/>
      <c r="F33" s="21"/>
      <c r="G33" s="21"/>
      <c r="H33" s="32"/>
      <c r="I33" s="32"/>
      <c r="J33" s="32"/>
      <c r="K33" s="32"/>
    </row>
    <row r="34" spans="1:11" x14ac:dyDescent="0.25">
      <c r="A34" s="21">
        <v>10</v>
      </c>
      <c r="B34" s="21" t="s">
        <v>30</v>
      </c>
      <c r="C34" s="21">
        <v>32.160000000000011</v>
      </c>
      <c r="D34" s="21">
        <v>443.21244999999999</v>
      </c>
      <c r="E34" s="21">
        <v>-1071.1499189391066</v>
      </c>
      <c r="F34" s="21"/>
      <c r="G34" s="21"/>
      <c r="H34" s="32"/>
      <c r="I34" s="32"/>
      <c r="J34" s="32"/>
      <c r="K34" s="32"/>
    </row>
    <row r="35" spans="1:11" ht="21.75" customHeight="1" x14ac:dyDescent="0.25">
      <c r="A35" s="21">
        <v>11</v>
      </c>
      <c r="B35" s="21" t="s">
        <v>31</v>
      </c>
      <c r="C35" s="21">
        <v>2668.34</v>
      </c>
      <c r="D35" s="21">
        <v>3831.55</v>
      </c>
      <c r="E35" s="21">
        <v>4080.34</v>
      </c>
      <c r="F35" s="21">
        <v>2709.6</v>
      </c>
      <c r="G35" s="21">
        <v>617.94000000000005</v>
      </c>
      <c r="H35" s="32"/>
      <c r="I35" s="32"/>
      <c r="J35" s="32"/>
      <c r="K35" s="32"/>
    </row>
    <row r="36" spans="1:11" ht="21.75" customHeight="1" x14ac:dyDescent="0.25">
      <c r="A36" s="21">
        <v>12</v>
      </c>
      <c r="B36" s="21" t="s">
        <v>32</v>
      </c>
      <c r="C36" s="21">
        <f>+C82</f>
        <v>2580.8614640000001</v>
      </c>
      <c r="D36" s="21">
        <f>+D82</f>
        <v>1857.6638479999999</v>
      </c>
      <c r="E36" s="21">
        <f>+E82</f>
        <v>1517.62</v>
      </c>
      <c r="F36" s="21">
        <f>+F82</f>
        <v>5703.8965831999985</v>
      </c>
      <c r="G36" s="21">
        <f>+G82</f>
        <v>1595.7199999999998</v>
      </c>
      <c r="H36" s="32"/>
      <c r="I36" s="32"/>
      <c r="J36" s="32"/>
      <c r="K36" s="32"/>
    </row>
    <row r="37" spans="1:11" ht="21.75" customHeight="1" x14ac:dyDescent="0.25">
      <c r="A37" s="34"/>
      <c r="B37" s="34" t="s">
        <v>33</v>
      </c>
      <c r="C37" s="34">
        <f>+C7+C8+C9+C10+C23+C31+C32+C33+C34+C35+C36</f>
        <v>15626.266983935357</v>
      </c>
      <c r="D37" s="34">
        <f>+D7+D8+D9+D10+D23+D31+D32+D33+D34+D35+D36</f>
        <v>15529.212238</v>
      </c>
      <c r="E37" s="34">
        <f>+E7+E8+E9+E10+E23+E31+E32+E33+E34+E35+E36</f>
        <v>12877.047131060892</v>
      </c>
      <c r="F37" s="34">
        <f>+F7+F8+F9+F10+F23+F31+F32+F33+F34+F35+F36</f>
        <v>15540.399683199998</v>
      </c>
      <c r="G37" s="34">
        <f>+G7+G8+G9+G10+G23+G31+G32+G33+G34+G35+G36</f>
        <v>11309.699999999999</v>
      </c>
      <c r="H37" s="32"/>
      <c r="I37" s="32"/>
      <c r="J37" s="32"/>
      <c r="K37" s="32"/>
    </row>
    <row r="38" spans="1:11" ht="21.75" customHeight="1" x14ac:dyDescent="0.25">
      <c r="A38" s="21"/>
      <c r="B38" s="21" t="s">
        <v>34</v>
      </c>
      <c r="C38" s="21">
        <f>14.34+26.32+0.1</f>
        <v>40.76</v>
      </c>
      <c r="D38" s="21">
        <f>405.99+73.43</f>
        <v>479.42</v>
      </c>
      <c r="E38" s="21">
        <f>151.11+6.26</f>
        <v>157.37</v>
      </c>
      <c r="F38" s="21">
        <f>34.08+100.93</f>
        <v>135.01</v>
      </c>
      <c r="G38" s="21">
        <f>52.04+20.31</f>
        <v>72.349999999999994</v>
      </c>
      <c r="H38" s="32"/>
      <c r="I38" s="32"/>
      <c r="J38" s="32"/>
      <c r="K38" s="32"/>
    </row>
    <row r="39" spans="1:11" ht="21.75" customHeight="1" x14ac:dyDescent="0.25">
      <c r="A39" s="21"/>
      <c r="B39" s="21" t="s">
        <v>35</v>
      </c>
      <c r="C39" s="21">
        <f>+C37-C38</f>
        <v>15585.506983935356</v>
      </c>
      <c r="D39" s="21">
        <f t="shared" ref="D39:G39" si="0">+D37-D38</f>
        <v>15049.792238</v>
      </c>
      <c r="E39" s="21">
        <f t="shared" si="0"/>
        <v>12719.677131060891</v>
      </c>
      <c r="F39" s="21">
        <f t="shared" si="0"/>
        <v>15405.389683199997</v>
      </c>
      <c r="G39" s="21">
        <f t="shared" si="0"/>
        <v>11237.349999999999</v>
      </c>
      <c r="H39" s="32"/>
      <c r="I39" s="32"/>
      <c r="J39" s="32"/>
      <c r="K39" s="32"/>
    </row>
    <row r="40" spans="1:11" ht="48" customHeight="1" x14ac:dyDescent="0.25">
      <c r="A40" s="21"/>
      <c r="B40" s="39" t="s">
        <v>36</v>
      </c>
      <c r="C40" s="40"/>
      <c r="D40" s="40"/>
      <c r="E40" s="40"/>
      <c r="F40" s="40"/>
      <c r="G40" s="40"/>
      <c r="H40" s="32"/>
      <c r="I40" s="32"/>
      <c r="J40" s="32"/>
      <c r="K40" s="32"/>
    </row>
    <row r="41" spans="1:11" ht="21.75" customHeight="1" x14ac:dyDescent="0.25">
      <c r="A41" s="21"/>
      <c r="B41" s="21"/>
      <c r="C41" s="21"/>
      <c r="D41" s="21"/>
      <c r="E41" s="21"/>
      <c r="F41" s="21"/>
      <c r="G41" s="21"/>
      <c r="H41" s="32"/>
      <c r="I41" s="32"/>
      <c r="J41" s="32"/>
      <c r="K41" s="32"/>
    </row>
    <row r="42" spans="1:11" x14ac:dyDescent="0.25">
      <c r="A42" s="77" t="s">
        <v>158</v>
      </c>
      <c r="B42" s="4"/>
      <c r="C42" s="4"/>
      <c r="D42" s="4"/>
      <c r="E42" s="4"/>
      <c r="F42" s="6"/>
      <c r="G42" s="4"/>
    </row>
    <row r="43" spans="1:11" ht="45" x14ac:dyDescent="0.25">
      <c r="A43" s="73"/>
      <c r="B43" s="74" t="s">
        <v>160</v>
      </c>
      <c r="C43" s="75"/>
      <c r="D43" s="75"/>
      <c r="E43" s="75"/>
      <c r="F43" s="76"/>
      <c r="G43" s="52">
        <v>251.01</v>
      </c>
      <c r="H43" s="32"/>
      <c r="I43" s="32"/>
      <c r="J43" s="32"/>
      <c r="K43" s="32"/>
    </row>
    <row r="44" spans="1:11" x14ac:dyDescent="0.25">
      <c r="A44" s="85"/>
      <c r="B44" s="86"/>
      <c r="C44" s="26"/>
      <c r="D44" s="26"/>
      <c r="E44" s="26"/>
      <c r="F44" s="15"/>
      <c r="G44" s="26"/>
      <c r="H44" s="32"/>
      <c r="I44" s="32"/>
      <c r="J44" s="32"/>
      <c r="K44" s="32"/>
    </row>
    <row r="45" spans="1:11" x14ac:dyDescent="0.25">
      <c r="A45" s="153" t="s">
        <v>46</v>
      </c>
      <c r="B45" s="153"/>
      <c r="C45" s="153"/>
      <c r="D45" s="153"/>
      <c r="E45" s="153"/>
      <c r="F45" s="153"/>
      <c r="G45" s="153"/>
      <c r="H45" s="32"/>
      <c r="I45" s="32"/>
      <c r="J45" s="32"/>
      <c r="K45" s="32"/>
    </row>
    <row r="46" spans="1:11" x14ac:dyDescent="0.25">
      <c r="A46" s="21" t="s">
        <v>37</v>
      </c>
      <c r="B46" s="87" t="s">
        <v>188</v>
      </c>
      <c r="C46" s="34" t="s">
        <v>45</v>
      </c>
      <c r="D46" s="34" t="s">
        <v>44</v>
      </c>
      <c r="E46" s="34" t="s">
        <v>38</v>
      </c>
      <c r="F46" s="34" t="s">
        <v>39</v>
      </c>
      <c r="G46" s="34" t="s">
        <v>43</v>
      </c>
      <c r="H46" s="32"/>
      <c r="I46" s="32"/>
      <c r="J46" s="32"/>
      <c r="K46" s="32"/>
    </row>
    <row r="47" spans="1:11" x14ac:dyDescent="0.25">
      <c r="A47" s="44">
        <v>1</v>
      </c>
      <c r="B47" s="5" t="s">
        <v>93</v>
      </c>
      <c r="C47" s="21">
        <v>155.08000000000001</v>
      </c>
      <c r="D47" s="21">
        <v>189.52</v>
      </c>
      <c r="E47" s="21">
        <v>264.04000000000002</v>
      </c>
      <c r="F47" s="34"/>
      <c r="G47" s="21">
        <v>120.79</v>
      </c>
      <c r="H47" s="32"/>
      <c r="I47" s="32"/>
      <c r="J47" s="32"/>
      <c r="K47" s="32"/>
    </row>
    <row r="48" spans="1:11" x14ac:dyDescent="0.25">
      <c r="A48" s="44">
        <v>2</v>
      </c>
      <c r="B48" s="21" t="s">
        <v>47</v>
      </c>
      <c r="C48" s="21">
        <v>3.635E-2</v>
      </c>
      <c r="D48" s="21">
        <v>0.49</v>
      </c>
      <c r="E48" s="21"/>
      <c r="F48" s="21"/>
      <c r="G48" s="21">
        <v>0.05</v>
      </c>
      <c r="H48" s="32"/>
      <c r="I48" s="32"/>
      <c r="J48" s="32"/>
      <c r="K48" s="32"/>
    </row>
    <row r="49" spans="1:11" x14ac:dyDescent="0.25">
      <c r="A49" s="44">
        <v>3</v>
      </c>
      <c r="B49" s="21" t="s">
        <v>50</v>
      </c>
      <c r="C49" s="21">
        <v>48.764650000000003</v>
      </c>
      <c r="D49" s="21">
        <v>107.42</v>
      </c>
      <c r="E49" s="21">
        <v>238.76</v>
      </c>
      <c r="F49" s="21">
        <v>60.935429999999997</v>
      </c>
      <c r="G49" s="21">
        <v>54.88</v>
      </c>
      <c r="H49" s="32"/>
      <c r="I49" s="32"/>
      <c r="J49" s="32"/>
      <c r="K49" s="32"/>
    </row>
    <row r="50" spans="1:11" x14ac:dyDescent="0.25">
      <c r="A50" s="44">
        <v>4</v>
      </c>
      <c r="B50" s="21" t="s">
        <v>51</v>
      </c>
      <c r="C50" s="21">
        <v>11.33188</v>
      </c>
      <c r="D50" s="21">
        <v>9.76</v>
      </c>
      <c r="E50" s="21">
        <v>10.89</v>
      </c>
      <c r="F50" s="21">
        <v>10.94</v>
      </c>
      <c r="G50" s="21">
        <v>10.11</v>
      </c>
      <c r="H50" s="32"/>
      <c r="I50" s="32"/>
      <c r="J50" s="32"/>
      <c r="K50" s="32"/>
    </row>
    <row r="51" spans="1:11" x14ac:dyDescent="0.25">
      <c r="A51" s="44">
        <v>5</v>
      </c>
      <c r="B51" s="21" t="s">
        <v>48</v>
      </c>
      <c r="C51" s="21">
        <v>1296.0024840000001</v>
      </c>
      <c r="D51" s="21">
        <v>20.53</v>
      </c>
      <c r="E51" s="21">
        <v>0.04</v>
      </c>
      <c r="F51" s="21"/>
      <c r="G51" s="21"/>
      <c r="H51" s="32"/>
      <c r="I51" s="32"/>
      <c r="J51" s="32"/>
      <c r="K51" s="32"/>
    </row>
    <row r="52" spans="1:11" x14ac:dyDescent="0.25">
      <c r="A52" s="44">
        <v>6</v>
      </c>
      <c r="B52" s="21" t="s">
        <v>49</v>
      </c>
      <c r="C52" s="21"/>
      <c r="D52" s="21">
        <v>367.03</v>
      </c>
      <c r="E52" s="21"/>
      <c r="F52" s="21">
        <v>4294.7299999999996</v>
      </c>
      <c r="G52" s="21">
        <v>135.22</v>
      </c>
      <c r="H52" s="32"/>
      <c r="I52" s="32"/>
      <c r="J52" s="32"/>
      <c r="K52" s="32"/>
    </row>
    <row r="53" spans="1:11" x14ac:dyDescent="0.25">
      <c r="A53" s="44">
        <v>7</v>
      </c>
      <c r="B53" s="21" t="s">
        <v>92</v>
      </c>
      <c r="C53" s="21">
        <v>380.22</v>
      </c>
      <c r="D53" s="21"/>
      <c r="E53" s="21">
        <v>208.98</v>
      </c>
      <c r="F53" s="21">
        <v>32.520130000000002</v>
      </c>
      <c r="G53" s="21"/>
      <c r="H53" s="32"/>
      <c r="I53" s="32"/>
      <c r="J53" s="32"/>
      <c r="K53" s="32"/>
    </row>
    <row r="54" spans="1:11" x14ac:dyDescent="0.25">
      <c r="A54" s="44">
        <v>8</v>
      </c>
      <c r="B54" s="21" t="s">
        <v>52</v>
      </c>
      <c r="C54" s="21">
        <v>0.61612999999999996</v>
      </c>
      <c r="D54" s="21">
        <v>24.21</v>
      </c>
      <c r="E54" s="21">
        <v>2.0499999999999998</v>
      </c>
      <c r="F54" s="42">
        <v>16.501709999999999</v>
      </c>
      <c r="G54" s="21">
        <v>1.1700000000000002</v>
      </c>
      <c r="H54" s="32"/>
      <c r="I54" s="32"/>
      <c r="J54" s="32"/>
      <c r="K54" s="32"/>
    </row>
    <row r="55" spans="1:11" x14ac:dyDescent="0.25">
      <c r="A55" s="44">
        <v>9</v>
      </c>
      <c r="B55" s="21" t="s">
        <v>53</v>
      </c>
      <c r="C55" s="21">
        <v>1.05</v>
      </c>
      <c r="D55" s="21">
        <v>2.8218000000000001</v>
      </c>
      <c r="E55" s="21">
        <v>1.47</v>
      </c>
      <c r="F55" s="42">
        <v>2.75</v>
      </c>
      <c r="G55" s="21">
        <v>7.99</v>
      </c>
      <c r="H55" s="32"/>
      <c r="I55" s="32"/>
      <c r="J55" s="32"/>
      <c r="K55" s="32"/>
    </row>
    <row r="56" spans="1:11" x14ac:dyDescent="0.25">
      <c r="A56" s="44">
        <v>10</v>
      </c>
      <c r="B56" s="21" t="s">
        <v>54</v>
      </c>
      <c r="C56" s="21">
        <v>0.12195</v>
      </c>
      <c r="D56" s="21">
        <v>0.1</v>
      </c>
      <c r="E56" s="21">
        <v>0.1</v>
      </c>
      <c r="F56" s="21"/>
      <c r="G56" s="21"/>
      <c r="H56" s="32"/>
      <c r="I56" s="32"/>
      <c r="J56" s="32"/>
      <c r="K56" s="32"/>
    </row>
    <row r="57" spans="1:11" x14ac:dyDescent="0.25">
      <c r="A57" s="44">
        <v>11</v>
      </c>
      <c r="B57" s="21" t="s">
        <v>91</v>
      </c>
      <c r="C57" s="21"/>
      <c r="D57" s="21"/>
      <c r="E57" s="21"/>
      <c r="F57" s="21"/>
      <c r="G57" s="21">
        <v>30.44</v>
      </c>
      <c r="H57" s="32"/>
      <c r="I57" s="32"/>
      <c r="J57" s="32"/>
      <c r="K57" s="32"/>
    </row>
    <row r="58" spans="1:11" x14ac:dyDescent="0.25">
      <c r="A58" s="44">
        <v>12</v>
      </c>
      <c r="B58" s="21" t="s">
        <v>67</v>
      </c>
      <c r="C58" s="21"/>
      <c r="D58" s="21">
        <v>7.11</v>
      </c>
      <c r="E58" s="21">
        <v>10.74</v>
      </c>
      <c r="F58" s="21">
        <v>11.93431</v>
      </c>
      <c r="G58" s="21">
        <v>0.68</v>
      </c>
      <c r="H58" s="32"/>
      <c r="I58" s="32"/>
      <c r="J58" s="32"/>
      <c r="K58" s="32"/>
    </row>
    <row r="59" spans="1:11" x14ac:dyDescent="0.25">
      <c r="A59" s="44">
        <v>13</v>
      </c>
      <c r="B59" s="21" t="s">
        <v>66</v>
      </c>
      <c r="C59" s="21">
        <v>0</v>
      </c>
      <c r="D59" s="21"/>
      <c r="E59" s="21"/>
      <c r="F59" s="21"/>
      <c r="G59" s="21"/>
      <c r="H59" s="32"/>
      <c r="I59" s="32"/>
      <c r="J59" s="32"/>
      <c r="K59" s="32"/>
    </row>
    <row r="60" spans="1:11" x14ac:dyDescent="0.25">
      <c r="A60" s="44">
        <v>14</v>
      </c>
      <c r="B60" s="42" t="s">
        <v>81</v>
      </c>
      <c r="C60" s="21">
        <v>153.2843</v>
      </c>
      <c r="D60" s="21">
        <v>235.33</v>
      </c>
      <c r="E60" s="21">
        <v>170.63</v>
      </c>
      <c r="F60" s="21">
        <v>131.28958</v>
      </c>
      <c r="G60" s="42">
        <v>137.01</v>
      </c>
      <c r="H60" s="32"/>
      <c r="I60" s="32"/>
      <c r="J60" s="32"/>
      <c r="K60" s="32"/>
    </row>
    <row r="61" spans="1:11" x14ac:dyDescent="0.25">
      <c r="A61" s="44">
        <v>15</v>
      </c>
      <c r="B61" s="42" t="s">
        <v>82</v>
      </c>
      <c r="C61" s="21">
        <v>58.95</v>
      </c>
      <c r="D61" s="21">
        <v>190.37</v>
      </c>
      <c r="E61" s="21">
        <v>27.119999999999997</v>
      </c>
      <c r="F61" s="21"/>
      <c r="G61" s="21">
        <v>281.59999999999997</v>
      </c>
      <c r="H61" s="32"/>
      <c r="I61" s="32"/>
      <c r="J61" s="32"/>
      <c r="K61" s="32"/>
    </row>
    <row r="62" spans="1:11" x14ac:dyDescent="0.25">
      <c r="A62" s="44">
        <v>16</v>
      </c>
      <c r="B62" s="42" t="s">
        <v>83</v>
      </c>
      <c r="C62" s="21">
        <v>5.4850899999999996</v>
      </c>
      <c r="D62" s="21">
        <v>21.28</v>
      </c>
      <c r="E62" s="21"/>
      <c r="F62" s="21"/>
      <c r="G62" s="21"/>
      <c r="H62" s="32"/>
      <c r="I62" s="32"/>
      <c r="J62" s="32"/>
      <c r="K62" s="32"/>
    </row>
    <row r="63" spans="1:11" x14ac:dyDescent="0.25">
      <c r="A63" s="44">
        <v>17</v>
      </c>
      <c r="B63" s="21" t="s">
        <v>84</v>
      </c>
      <c r="C63" s="21">
        <v>40.409999999999997</v>
      </c>
      <c r="D63" s="21">
        <v>57.87</v>
      </c>
      <c r="E63" s="21">
        <v>50.33</v>
      </c>
      <c r="F63" s="21">
        <v>38.299999999999997</v>
      </c>
      <c r="G63" s="21">
        <v>16.22</v>
      </c>
      <c r="H63" s="32"/>
      <c r="I63" s="32"/>
      <c r="J63" s="32"/>
      <c r="K63" s="32"/>
    </row>
    <row r="64" spans="1:11" x14ac:dyDescent="0.25">
      <c r="A64" s="44">
        <v>18</v>
      </c>
      <c r="B64" s="21" t="s">
        <v>85</v>
      </c>
      <c r="C64" s="21">
        <v>145.99531999999999</v>
      </c>
      <c r="D64" s="21">
        <v>183.92000000000002</v>
      </c>
      <c r="E64" s="21">
        <v>291.19</v>
      </c>
      <c r="F64" s="21">
        <v>309.69</v>
      </c>
      <c r="G64" s="21">
        <v>155.85</v>
      </c>
      <c r="H64" s="32"/>
      <c r="I64" s="32"/>
      <c r="J64" s="32"/>
      <c r="K64" s="32"/>
    </row>
    <row r="65" spans="1:11" x14ac:dyDescent="0.25">
      <c r="A65" s="44">
        <v>19</v>
      </c>
      <c r="B65" s="21" t="s">
        <v>89</v>
      </c>
      <c r="C65" s="21"/>
      <c r="D65" s="21">
        <v>173.3</v>
      </c>
      <c r="E65" s="21"/>
      <c r="F65" s="21">
        <v>550.30299000000002</v>
      </c>
      <c r="G65" s="21"/>
      <c r="H65" s="32"/>
      <c r="I65" s="32"/>
      <c r="J65" s="32"/>
      <c r="K65" s="32"/>
    </row>
    <row r="66" spans="1:11" x14ac:dyDescent="0.25">
      <c r="A66" s="44">
        <v>20</v>
      </c>
      <c r="B66" s="21" t="s">
        <v>69</v>
      </c>
      <c r="C66" s="21">
        <v>70.404070000000004</v>
      </c>
      <c r="D66" s="21">
        <v>75.790000000000006</v>
      </c>
      <c r="E66" s="21">
        <v>72.81</v>
      </c>
      <c r="F66" s="21">
        <v>74.56</v>
      </c>
      <c r="G66" s="21">
        <v>82.009999999999991</v>
      </c>
      <c r="H66" s="32"/>
      <c r="I66" s="32"/>
      <c r="J66" s="32"/>
      <c r="K66" s="32"/>
    </row>
    <row r="67" spans="1:11" x14ac:dyDescent="0.25">
      <c r="A67" s="44">
        <v>21</v>
      </c>
      <c r="B67" s="21" t="s">
        <v>68</v>
      </c>
      <c r="C67" s="21">
        <v>8.4051899999999993</v>
      </c>
      <c r="D67" s="21">
        <v>11.23</v>
      </c>
      <c r="E67" s="21">
        <v>6.29</v>
      </c>
      <c r="F67" s="21">
        <v>5.4189299999999996</v>
      </c>
      <c r="G67" s="21">
        <v>5.2600000000000007</v>
      </c>
      <c r="H67" s="32"/>
      <c r="I67" s="32"/>
      <c r="J67" s="32"/>
      <c r="K67" s="32"/>
    </row>
    <row r="68" spans="1:11" x14ac:dyDescent="0.25">
      <c r="A68" s="44">
        <v>22</v>
      </c>
      <c r="B68" s="21" t="s">
        <v>55</v>
      </c>
      <c r="C68" s="21">
        <v>0.37220999999999999</v>
      </c>
      <c r="D68" s="21">
        <v>0.4</v>
      </c>
      <c r="E68" s="21">
        <v>0.28000000000000003</v>
      </c>
      <c r="F68" s="21">
        <v>0.27731</v>
      </c>
      <c r="G68" s="21">
        <v>0.28999999999999998</v>
      </c>
      <c r="H68" s="32"/>
      <c r="I68" s="32"/>
      <c r="J68" s="32"/>
      <c r="K68" s="32"/>
    </row>
    <row r="69" spans="1:11" x14ac:dyDescent="0.25">
      <c r="A69" s="44">
        <v>23</v>
      </c>
      <c r="B69" s="21" t="s">
        <v>56</v>
      </c>
      <c r="C69" s="21">
        <v>0.92025999999999997</v>
      </c>
      <c r="D69" s="21">
        <v>1.0900000000000001</v>
      </c>
      <c r="E69" s="21">
        <v>0.39</v>
      </c>
      <c r="F69" s="21">
        <v>0.54349999999999998</v>
      </c>
      <c r="G69" s="42">
        <v>1.73</v>
      </c>
      <c r="H69" s="32"/>
      <c r="I69" s="32"/>
      <c r="J69" s="32"/>
      <c r="K69" s="32"/>
    </row>
    <row r="70" spans="1:11" x14ac:dyDescent="0.25">
      <c r="A70" s="44">
        <v>24</v>
      </c>
      <c r="B70" s="21" t="s">
        <v>141</v>
      </c>
      <c r="C70" s="21">
        <v>0</v>
      </c>
      <c r="D70" s="21"/>
      <c r="E70" s="21"/>
      <c r="F70" s="21"/>
      <c r="G70" s="21"/>
      <c r="H70" s="32"/>
      <c r="I70" s="32"/>
      <c r="J70" s="32"/>
      <c r="K70" s="32"/>
    </row>
    <row r="71" spans="1:11" x14ac:dyDescent="0.25">
      <c r="A71" s="44">
        <v>25</v>
      </c>
      <c r="B71" s="21" t="s">
        <v>58</v>
      </c>
      <c r="C71" s="21">
        <v>58.36074</v>
      </c>
      <c r="D71" s="21">
        <v>38.755087999999994</v>
      </c>
      <c r="E71" s="21">
        <v>16.71</v>
      </c>
      <c r="F71" s="21">
        <v>30.421769999999999</v>
      </c>
      <c r="G71" s="21">
        <v>12.22</v>
      </c>
      <c r="H71" s="32"/>
      <c r="I71" s="32"/>
      <c r="J71" s="32"/>
      <c r="K71" s="32"/>
    </row>
    <row r="72" spans="1:11" x14ac:dyDescent="0.25">
      <c r="A72" s="44">
        <v>26</v>
      </c>
      <c r="B72" s="21" t="s">
        <v>59</v>
      </c>
      <c r="C72" s="21">
        <v>110.76235</v>
      </c>
      <c r="D72" s="21">
        <v>100.87</v>
      </c>
      <c r="E72" s="21">
        <v>108.35</v>
      </c>
      <c r="F72" s="21">
        <v>101.32</v>
      </c>
      <c r="G72" s="21">
        <v>115.63</v>
      </c>
      <c r="H72" s="32"/>
      <c r="I72" s="32"/>
      <c r="J72" s="32"/>
      <c r="K72" s="32"/>
    </row>
    <row r="73" spans="1:11" x14ac:dyDescent="0.25">
      <c r="A73" s="44">
        <v>27</v>
      </c>
      <c r="B73" s="21" t="s">
        <v>70</v>
      </c>
      <c r="C73" s="21">
        <v>0.24482999999999999</v>
      </c>
      <c r="D73" s="21">
        <v>0.65</v>
      </c>
      <c r="E73" s="21"/>
      <c r="F73" s="21">
        <v>0.13689999999999999</v>
      </c>
      <c r="G73" s="21">
        <v>0.04</v>
      </c>
      <c r="H73" s="32"/>
      <c r="I73" s="32"/>
      <c r="J73" s="32"/>
      <c r="K73" s="32"/>
    </row>
    <row r="74" spans="1:11" x14ac:dyDescent="0.25">
      <c r="A74" s="44">
        <v>28</v>
      </c>
      <c r="B74" s="21" t="s">
        <v>88</v>
      </c>
      <c r="C74" s="21"/>
      <c r="D74" s="21"/>
      <c r="E74" s="21"/>
      <c r="F74" s="21"/>
      <c r="G74" s="21"/>
      <c r="H74" s="32"/>
      <c r="I74" s="32"/>
      <c r="J74" s="32"/>
      <c r="K74" s="32"/>
    </row>
    <row r="75" spans="1:11" x14ac:dyDescent="0.25">
      <c r="A75" s="44">
        <v>29</v>
      </c>
      <c r="B75" s="21" t="s">
        <v>60</v>
      </c>
      <c r="C75" s="21">
        <v>8.8419999999999999E-2</v>
      </c>
      <c r="D75" s="21">
        <v>2.0411899999999998</v>
      </c>
      <c r="E75" s="21">
        <v>1.55</v>
      </c>
      <c r="F75" s="21">
        <v>1.08084</v>
      </c>
      <c r="G75" s="42">
        <v>2.56</v>
      </c>
      <c r="H75" s="32"/>
      <c r="I75" s="32"/>
      <c r="J75" s="32"/>
      <c r="K75" s="32"/>
    </row>
    <row r="76" spans="1:11" x14ac:dyDescent="0.25">
      <c r="A76" s="44">
        <v>30</v>
      </c>
      <c r="B76" s="21" t="s">
        <v>61</v>
      </c>
      <c r="C76" s="21">
        <v>11.980090000000001</v>
      </c>
      <c r="D76" s="21">
        <v>12.09929</v>
      </c>
      <c r="E76" s="21">
        <v>11.07</v>
      </c>
      <c r="F76" s="21">
        <v>17.416753200000002</v>
      </c>
      <c r="G76" s="42">
        <v>15.83</v>
      </c>
      <c r="H76" s="32"/>
      <c r="I76" s="32"/>
      <c r="J76" s="32"/>
      <c r="K76" s="32"/>
    </row>
    <row r="77" spans="1:11" x14ac:dyDescent="0.25">
      <c r="A77" s="44">
        <v>31</v>
      </c>
      <c r="B77" s="21" t="s">
        <v>62</v>
      </c>
      <c r="C77" s="7">
        <v>12.4908</v>
      </c>
      <c r="D77" s="21">
        <v>11.6</v>
      </c>
      <c r="E77" s="21">
        <v>15.77</v>
      </c>
      <c r="F77" s="21">
        <v>5.1780600000000003</v>
      </c>
      <c r="G77" s="21">
        <v>9.61</v>
      </c>
      <c r="H77" s="32"/>
      <c r="I77" s="32"/>
      <c r="J77" s="32"/>
      <c r="K77" s="32"/>
    </row>
    <row r="78" spans="1:11" x14ac:dyDescent="0.25">
      <c r="A78" s="44">
        <v>32</v>
      </c>
      <c r="B78" s="5" t="s">
        <v>63</v>
      </c>
      <c r="C78" s="7">
        <v>2.5100000000000001E-2</v>
      </c>
      <c r="D78" s="21"/>
      <c r="E78" s="21">
        <v>0.04</v>
      </c>
      <c r="F78" s="21"/>
      <c r="G78" s="21"/>
      <c r="H78" s="32"/>
      <c r="I78" s="32"/>
      <c r="J78" s="32"/>
      <c r="K78" s="32"/>
    </row>
    <row r="79" spans="1:11" x14ac:dyDescent="0.25">
      <c r="A79" s="44">
        <v>33</v>
      </c>
      <c r="B79" s="21" t="s">
        <v>64</v>
      </c>
      <c r="C79" s="21"/>
      <c r="D79" s="21"/>
      <c r="E79" s="21"/>
      <c r="F79" s="21"/>
      <c r="G79" s="21">
        <v>0.08</v>
      </c>
      <c r="H79" s="32"/>
      <c r="I79" s="32"/>
      <c r="J79" s="32"/>
      <c r="K79" s="32"/>
    </row>
    <row r="80" spans="1:11" x14ac:dyDescent="0.25">
      <c r="A80" s="44">
        <v>34</v>
      </c>
      <c r="B80" s="21" t="s">
        <v>65</v>
      </c>
      <c r="C80" s="21">
        <v>6.7365399999999998</v>
      </c>
      <c r="D80" s="21">
        <v>9.90381</v>
      </c>
      <c r="E80" s="21">
        <v>7.96</v>
      </c>
      <c r="F80" s="21">
        <v>4.37</v>
      </c>
      <c r="G80" s="21">
        <v>19.3</v>
      </c>
      <c r="H80" s="32"/>
      <c r="I80" s="32"/>
      <c r="J80" s="32"/>
      <c r="K80" s="32"/>
    </row>
    <row r="81" spans="1:11" x14ac:dyDescent="0.25">
      <c r="A81" s="44">
        <v>35</v>
      </c>
      <c r="B81" s="21" t="s">
        <v>140</v>
      </c>
      <c r="C81" s="21">
        <v>2.7227100000000002</v>
      </c>
      <c r="D81" s="21">
        <v>2.1726700000000001</v>
      </c>
      <c r="E81" s="21">
        <v>0.06</v>
      </c>
      <c r="F81" s="21">
        <v>3.2783699999999998</v>
      </c>
      <c r="G81" s="21">
        <v>379.15</v>
      </c>
      <c r="H81" s="32"/>
      <c r="I81" s="32"/>
      <c r="J81" s="32"/>
      <c r="K81" s="32"/>
    </row>
    <row r="82" spans="1:11" x14ac:dyDescent="0.25">
      <c r="A82" s="154" t="s">
        <v>72</v>
      </c>
      <c r="B82" s="154"/>
      <c r="C82" s="34">
        <f>SUM(C47:C81)</f>
        <v>2580.8614640000001</v>
      </c>
      <c r="D82" s="34">
        <f>SUM(D47:D81)</f>
        <v>1857.6638479999999</v>
      </c>
      <c r="E82" s="34">
        <f>SUM(E47:E81)</f>
        <v>1517.62</v>
      </c>
      <c r="F82" s="34">
        <f>SUM(F47:F81)</f>
        <v>5703.8965831999985</v>
      </c>
      <c r="G82" s="34">
        <f>SUM(G47:G81)</f>
        <v>1595.7199999999998</v>
      </c>
      <c r="H82" s="32"/>
      <c r="I82" s="32"/>
      <c r="J82" s="32"/>
      <c r="K82" s="32"/>
    </row>
    <row r="83" spans="1:11" x14ac:dyDescent="0.25">
      <c r="H83" s="32"/>
      <c r="I83" s="32"/>
      <c r="J83" s="32"/>
      <c r="K83" s="32"/>
    </row>
    <row r="84" spans="1:11" x14ac:dyDescent="0.25">
      <c r="A84" s="153" t="s">
        <v>86</v>
      </c>
      <c r="B84" s="153"/>
      <c r="C84" s="153"/>
      <c r="D84" s="153"/>
      <c r="E84" s="153"/>
      <c r="F84" s="153"/>
      <c r="G84" s="153"/>
      <c r="H84" s="32"/>
      <c r="I84" s="32"/>
      <c r="J84" s="32"/>
      <c r="K84" s="32"/>
    </row>
    <row r="85" spans="1:11" x14ac:dyDescent="0.25">
      <c r="A85" s="34" t="s">
        <v>37</v>
      </c>
      <c r="B85" s="34" t="s">
        <v>0</v>
      </c>
      <c r="C85" s="34" t="s">
        <v>45</v>
      </c>
      <c r="D85" s="34" t="s">
        <v>44</v>
      </c>
      <c r="E85" s="34" t="s">
        <v>38</v>
      </c>
      <c r="F85" s="34" t="s">
        <v>39</v>
      </c>
      <c r="G85" s="34" t="s">
        <v>43</v>
      </c>
      <c r="H85" s="32"/>
      <c r="I85" s="32"/>
      <c r="J85" s="32"/>
      <c r="K85" s="32"/>
    </row>
    <row r="86" spans="1:11" x14ac:dyDescent="0.25">
      <c r="A86" s="44">
        <v>1</v>
      </c>
      <c r="B86" s="21" t="s">
        <v>73</v>
      </c>
      <c r="C86" s="7">
        <v>253.71</v>
      </c>
      <c r="D86" s="7">
        <v>214.02</v>
      </c>
      <c r="E86" s="7">
        <v>471.79</v>
      </c>
      <c r="F86" s="7">
        <v>368.62</v>
      </c>
      <c r="G86" s="7">
        <v>437.84000000000003</v>
      </c>
      <c r="H86" s="32"/>
      <c r="I86" s="32"/>
      <c r="J86" s="32"/>
      <c r="K86" s="32"/>
    </row>
    <row r="87" spans="1:11" x14ac:dyDescent="0.25">
      <c r="A87" s="44">
        <v>2</v>
      </c>
      <c r="B87" s="21" t="s">
        <v>74</v>
      </c>
      <c r="C87" s="7">
        <v>92.233670000000004</v>
      </c>
      <c r="D87" s="21">
        <v>109.15</v>
      </c>
      <c r="E87" s="21">
        <v>99.35</v>
      </c>
      <c r="F87" s="21">
        <v>152.97</v>
      </c>
      <c r="G87" s="21">
        <v>133.84</v>
      </c>
      <c r="H87" s="32"/>
      <c r="I87" s="32"/>
      <c r="J87" s="32"/>
      <c r="K87" s="32"/>
    </row>
    <row r="88" spans="1:11" x14ac:dyDescent="0.25">
      <c r="A88" s="44">
        <v>3</v>
      </c>
      <c r="B88" s="21" t="s">
        <v>75</v>
      </c>
      <c r="C88" s="7">
        <v>0</v>
      </c>
      <c r="D88" s="21">
        <v>0</v>
      </c>
      <c r="E88" s="21"/>
      <c r="F88" s="21">
        <v>0</v>
      </c>
      <c r="G88" s="21">
        <v>0</v>
      </c>
      <c r="H88" s="32"/>
      <c r="I88" s="32"/>
      <c r="J88" s="32"/>
      <c r="K88" s="32"/>
    </row>
    <row r="89" spans="1:11" x14ac:dyDescent="0.25">
      <c r="A89" s="44">
        <v>4</v>
      </c>
      <c r="B89" s="21" t="s">
        <v>76</v>
      </c>
      <c r="C89" s="7">
        <v>0.21079999999999999</v>
      </c>
      <c r="D89" s="21">
        <v>1.07</v>
      </c>
      <c r="E89" s="21">
        <v>2.1800000000000002</v>
      </c>
      <c r="F89" s="21">
        <v>0.94799999999999995</v>
      </c>
      <c r="G89" s="21">
        <v>0.06</v>
      </c>
      <c r="H89" s="32"/>
      <c r="I89" s="32"/>
      <c r="J89" s="32"/>
      <c r="K89" s="32"/>
    </row>
    <row r="90" spans="1:11" x14ac:dyDescent="0.25">
      <c r="A90" s="44">
        <v>5</v>
      </c>
      <c r="B90" s="21" t="s">
        <v>77</v>
      </c>
      <c r="C90" s="7">
        <v>82.566509999999994</v>
      </c>
      <c r="D90" s="21">
        <v>60.67</v>
      </c>
      <c r="E90" s="21">
        <v>91.199999999999989</v>
      </c>
      <c r="F90" s="21">
        <v>89.25</v>
      </c>
      <c r="G90" s="21">
        <v>38.130000000000003</v>
      </c>
      <c r="H90" s="32"/>
      <c r="I90" s="32"/>
      <c r="J90" s="32"/>
      <c r="K90" s="32"/>
    </row>
    <row r="91" spans="1:11" x14ac:dyDescent="0.25">
      <c r="A91" s="44">
        <v>6</v>
      </c>
      <c r="B91" s="21" t="s">
        <v>78</v>
      </c>
      <c r="C91" s="7">
        <v>2.8866100000000001</v>
      </c>
      <c r="D91" s="21">
        <v>2.84</v>
      </c>
      <c r="E91" s="21">
        <v>0.81</v>
      </c>
      <c r="F91" s="21">
        <v>3.6732200000000002</v>
      </c>
      <c r="G91" s="21">
        <v>3.95</v>
      </c>
      <c r="H91" s="32"/>
      <c r="I91" s="32"/>
      <c r="J91" s="32"/>
      <c r="K91" s="32"/>
    </row>
    <row r="92" spans="1:11" x14ac:dyDescent="0.25">
      <c r="A92" s="44">
        <v>7</v>
      </c>
      <c r="B92" s="21" t="s">
        <v>79</v>
      </c>
      <c r="C92" s="7">
        <v>0</v>
      </c>
      <c r="D92" s="21">
        <v>0.05</v>
      </c>
      <c r="E92" s="42"/>
      <c r="F92" s="21"/>
      <c r="G92" s="21">
        <v>2.9</v>
      </c>
      <c r="H92" s="32"/>
      <c r="I92" s="32"/>
      <c r="J92" s="32"/>
      <c r="K92" s="32"/>
    </row>
    <row r="93" spans="1:11" x14ac:dyDescent="0.25">
      <c r="A93" s="44">
        <v>8</v>
      </c>
      <c r="B93" s="21" t="s">
        <v>80</v>
      </c>
      <c r="C93" s="7">
        <v>8</v>
      </c>
      <c r="D93" s="21">
        <v>5</v>
      </c>
      <c r="E93" s="42">
        <v>20</v>
      </c>
      <c r="F93" s="21">
        <v>10</v>
      </c>
      <c r="G93" s="21">
        <v>5</v>
      </c>
      <c r="H93" s="32"/>
      <c r="I93" s="32"/>
      <c r="J93" s="32"/>
      <c r="K93" s="32"/>
    </row>
    <row r="94" spans="1:11" x14ac:dyDescent="0.25">
      <c r="A94" s="44">
        <v>9</v>
      </c>
      <c r="B94" s="21" t="s">
        <v>94</v>
      </c>
      <c r="C94" s="7">
        <v>7.8</v>
      </c>
      <c r="D94" s="21">
        <v>7.39</v>
      </c>
      <c r="E94" s="42">
        <v>6.94</v>
      </c>
      <c r="F94" s="21"/>
      <c r="G94" s="21"/>
      <c r="H94" s="32"/>
      <c r="I94" s="32"/>
      <c r="J94" s="32"/>
      <c r="K94" s="32"/>
    </row>
    <row r="95" spans="1:11" x14ac:dyDescent="0.25">
      <c r="A95" s="44">
        <v>10</v>
      </c>
      <c r="B95" s="21" t="s">
        <v>95</v>
      </c>
      <c r="C95" s="7">
        <v>5.0599999999999996</v>
      </c>
      <c r="D95" s="21">
        <v>3.72</v>
      </c>
      <c r="E95" s="42">
        <v>3.13</v>
      </c>
      <c r="F95" s="21">
        <v>4.12</v>
      </c>
      <c r="G95" s="21">
        <v>11.22</v>
      </c>
      <c r="H95" s="32"/>
      <c r="I95" s="32"/>
      <c r="J95" s="32"/>
      <c r="K95" s="32"/>
    </row>
    <row r="96" spans="1:11" x14ac:dyDescent="0.25">
      <c r="A96" s="44">
        <v>11</v>
      </c>
      <c r="B96" s="42" t="s">
        <v>139</v>
      </c>
      <c r="C96" s="21"/>
      <c r="D96" s="21"/>
      <c r="E96" s="21"/>
      <c r="F96" s="21">
        <v>2.4900000000000002</v>
      </c>
      <c r="G96" s="21">
        <v>3.02</v>
      </c>
      <c r="H96" s="32"/>
      <c r="I96" s="32"/>
      <c r="J96" s="32"/>
      <c r="K96" s="32"/>
    </row>
    <row r="97" spans="1:11" x14ac:dyDescent="0.25">
      <c r="A97" s="146" t="s">
        <v>97</v>
      </c>
      <c r="B97" s="146"/>
      <c r="C97" s="41">
        <f>SUM(C86:C96)</f>
        <v>452.46759000000003</v>
      </c>
      <c r="D97" s="41">
        <f>SUM(D86:D96)</f>
        <v>403.91</v>
      </c>
      <c r="E97" s="41">
        <f>SUM(E86:E96)</f>
        <v>695.4</v>
      </c>
      <c r="F97" s="41">
        <f>SUM(F86:F96)</f>
        <v>632.07122000000004</v>
      </c>
      <c r="G97" s="41">
        <f>SUM(G86:G96)</f>
        <v>635.96</v>
      </c>
      <c r="H97" s="32"/>
      <c r="I97" s="32"/>
      <c r="J97" s="32"/>
      <c r="K97" s="32"/>
    </row>
    <row r="98" spans="1:11" x14ac:dyDescent="0.25">
      <c r="H98" s="32"/>
      <c r="I98" s="32"/>
      <c r="J98" s="32"/>
      <c r="K98" s="32"/>
    </row>
    <row r="100" spans="1:11" x14ac:dyDescent="0.25">
      <c r="A100" s="4"/>
      <c r="B100" s="26" t="s">
        <v>185</v>
      </c>
      <c r="C100" s="4"/>
      <c r="D100" s="4"/>
      <c r="E100" s="4"/>
      <c r="F100" s="6"/>
      <c r="G100" s="4"/>
    </row>
    <row r="101" spans="1:11" x14ac:dyDescent="0.25">
      <c r="A101" s="1" t="s">
        <v>37</v>
      </c>
      <c r="B101" s="10" t="s">
        <v>0</v>
      </c>
      <c r="C101" s="1" t="s">
        <v>45</v>
      </c>
      <c r="D101" s="1" t="s">
        <v>44</v>
      </c>
      <c r="E101" s="1" t="s">
        <v>38</v>
      </c>
      <c r="F101" s="11" t="s">
        <v>39</v>
      </c>
      <c r="G101" s="1" t="s">
        <v>43</v>
      </c>
    </row>
    <row r="102" spans="1:11" x14ac:dyDescent="0.25">
      <c r="A102" s="5">
        <v>1</v>
      </c>
      <c r="B102" s="5" t="s">
        <v>171</v>
      </c>
      <c r="C102" s="5">
        <v>3.71</v>
      </c>
      <c r="D102" s="5">
        <v>1.95</v>
      </c>
      <c r="E102" s="5">
        <v>0.76</v>
      </c>
      <c r="F102" s="8">
        <v>0.56999999999999995</v>
      </c>
      <c r="G102" s="5">
        <v>0.21</v>
      </c>
      <c r="H102" s="32"/>
      <c r="I102" s="32"/>
      <c r="J102" s="32"/>
      <c r="K102" s="32"/>
    </row>
    <row r="103" spans="1:11" x14ac:dyDescent="0.25">
      <c r="A103" s="5">
        <v>2</v>
      </c>
      <c r="B103" s="5" t="s">
        <v>172</v>
      </c>
      <c r="C103" s="5">
        <v>0.55000000000000004</v>
      </c>
      <c r="D103" s="5"/>
      <c r="E103" s="5"/>
      <c r="F103" s="8"/>
      <c r="G103" s="5"/>
    </row>
    <row r="104" spans="1:11" x14ac:dyDescent="0.25">
      <c r="A104" s="5">
        <v>3</v>
      </c>
      <c r="B104" s="5" t="s">
        <v>173</v>
      </c>
      <c r="C104" s="5"/>
      <c r="D104" s="5"/>
      <c r="E104" s="5"/>
      <c r="F104" s="8"/>
      <c r="G104" s="5">
        <v>0.03</v>
      </c>
    </row>
    <row r="105" spans="1:11" x14ac:dyDescent="0.25">
      <c r="A105" s="5">
        <v>4</v>
      </c>
      <c r="B105" s="5" t="s">
        <v>174</v>
      </c>
      <c r="C105" s="8">
        <v>1.8</v>
      </c>
      <c r="D105" s="5"/>
      <c r="E105" s="5"/>
      <c r="F105" s="8"/>
      <c r="G105" s="5"/>
    </row>
    <row r="106" spans="1:11" ht="30" x14ac:dyDescent="0.25">
      <c r="A106" s="5">
        <v>5</v>
      </c>
      <c r="B106" s="9" t="s">
        <v>189</v>
      </c>
      <c r="C106" s="5">
        <v>8.2799999999999994</v>
      </c>
      <c r="D106" s="5">
        <v>404.04</v>
      </c>
      <c r="E106" s="5">
        <v>150.35</v>
      </c>
      <c r="F106" s="8">
        <v>33.51</v>
      </c>
      <c r="G106" s="5">
        <f>37.16+14.29</f>
        <v>51.449999999999996</v>
      </c>
    </row>
    <row r="107" spans="1:11" x14ac:dyDescent="0.25">
      <c r="A107" s="5">
        <v>6</v>
      </c>
      <c r="B107" s="21" t="s">
        <v>178</v>
      </c>
      <c r="C107" s="63">
        <v>26.32</v>
      </c>
      <c r="D107" s="63">
        <v>73.430000000000007</v>
      </c>
      <c r="E107" s="63">
        <v>6.26</v>
      </c>
      <c r="F107" s="63">
        <v>100.93</v>
      </c>
      <c r="G107" s="63">
        <v>20.309999999999999</v>
      </c>
    </row>
    <row r="108" spans="1:11" x14ac:dyDescent="0.25">
      <c r="A108" s="5">
        <v>7</v>
      </c>
      <c r="B108" s="21" t="s">
        <v>179</v>
      </c>
      <c r="C108" s="21">
        <v>0.1</v>
      </c>
      <c r="D108" s="21"/>
      <c r="E108" s="21"/>
      <c r="F108" s="21"/>
      <c r="G108" s="21"/>
    </row>
    <row r="109" spans="1:11" x14ac:dyDescent="0.25">
      <c r="A109" s="5">
        <v>11</v>
      </c>
      <c r="B109" s="5" t="s">
        <v>184</v>
      </c>
      <c r="C109" s="21"/>
      <c r="D109" s="21"/>
      <c r="E109" s="21"/>
      <c r="F109" s="21"/>
      <c r="G109" s="21">
        <v>0.35</v>
      </c>
    </row>
    <row r="110" spans="1:11" x14ac:dyDescent="0.25">
      <c r="A110" s="151" t="s">
        <v>143</v>
      </c>
      <c r="B110" s="152"/>
      <c r="C110" s="21">
        <f>SUM(C102:C109)</f>
        <v>40.76</v>
      </c>
      <c r="D110" s="21">
        <f>SUM(D102:D109)</f>
        <v>479.42</v>
      </c>
      <c r="E110" s="21">
        <f>SUM(E102:E109)</f>
        <v>157.36999999999998</v>
      </c>
      <c r="F110" s="21">
        <f>SUM(F102:F109)</f>
        <v>135.01</v>
      </c>
      <c r="G110" s="21">
        <f>SUM(G102:G109)</f>
        <v>72.349999999999994</v>
      </c>
    </row>
  </sheetData>
  <mergeCells count="9">
    <mergeCell ref="F1:G1"/>
    <mergeCell ref="A110:B110"/>
    <mergeCell ref="A97:B97"/>
    <mergeCell ref="A2:G2"/>
    <mergeCell ref="A45:G45"/>
    <mergeCell ref="A82:B82"/>
    <mergeCell ref="A84:G84"/>
    <mergeCell ref="A3:G3"/>
    <mergeCell ref="A4:G4"/>
  </mergeCells>
  <pageMargins left="0.70866141732283472" right="0.35433070866141736" top="0.74803149606299213" bottom="0.74803149606299213" header="0.31496062992125984" footer="0.31496062992125984"/>
  <pageSetup paperSize="9" scale="95" orientation="portrait" verticalDpi="0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zoomScaleNormal="100" workbookViewId="0">
      <selection activeCell="K13" sqref="K13"/>
    </sheetView>
  </sheetViews>
  <sheetFormatPr defaultRowHeight="15" x14ac:dyDescent="0.25"/>
  <cols>
    <col min="1" max="1" width="6" style="32" customWidth="1"/>
    <col min="2" max="2" width="33.28515625" style="32" customWidth="1"/>
    <col min="3" max="5" width="10.140625" style="32" customWidth="1"/>
    <col min="6" max="6" width="11" style="32" customWidth="1"/>
    <col min="7" max="7" width="10.140625" style="32" customWidth="1"/>
    <col min="8" max="11" width="9.140625" style="4"/>
    <col min="12" max="16384" width="9.140625" style="32"/>
  </cols>
  <sheetData>
    <row r="1" spans="1:11" x14ac:dyDescent="0.25">
      <c r="F1" s="150" t="s">
        <v>213</v>
      </c>
      <c r="G1" s="150"/>
    </row>
    <row r="2" spans="1:11" x14ac:dyDescent="0.25">
      <c r="A2" s="147" t="s">
        <v>138</v>
      </c>
      <c r="B2" s="147"/>
      <c r="C2" s="147"/>
      <c r="D2" s="147"/>
      <c r="E2" s="147"/>
      <c r="F2" s="147"/>
      <c r="G2" s="147"/>
      <c r="H2" s="32"/>
      <c r="I2" s="32"/>
      <c r="J2" s="32"/>
      <c r="K2" s="32"/>
    </row>
    <row r="3" spans="1:11" x14ac:dyDescent="0.25">
      <c r="A3" s="138" t="s">
        <v>219</v>
      </c>
      <c r="B3" s="138"/>
      <c r="C3" s="138"/>
      <c r="D3" s="138"/>
      <c r="E3" s="138"/>
      <c r="F3" s="138"/>
      <c r="G3" s="138"/>
      <c r="H3" s="32"/>
      <c r="I3" s="32"/>
      <c r="J3" s="32"/>
      <c r="K3" s="32"/>
    </row>
    <row r="4" spans="1:11" x14ac:dyDescent="0.25">
      <c r="A4" s="138" t="s">
        <v>221</v>
      </c>
      <c r="B4" s="138"/>
      <c r="C4" s="138"/>
      <c r="D4" s="138"/>
      <c r="E4" s="138"/>
      <c r="F4" s="138"/>
      <c r="G4" s="138"/>
      <c r="H4" s="32"/>
      <c r="I4" s="32"/>
      <c r="J4" s="32"/>
      <c r="K4" s="32"/>
    </row>
    <row r="5" spans="1:11" x14ac:dyDescent="0.25">
      <c r="G5" s="33" t="s">
        <v>96</v>
      </c>
      <c r="H5" s="32"/>
      <c r="I5" s="32"/>
      <c r="J5" s="32"/>
      <c r="K5" s="32"/>
    </row>
    <row r="6" spans="1:11" x14ac:dyDescent="0.25">
      <c r="A6" s="34" t="s">
        <v>37</v>
      </c>
      <c r="B6" s="34" t="s">
        <v>0</v>
      </c>
      <c r="C6" s="34" t="s">
        <v>45</v>
      </c>
      <c r="D6" s="34" t="s">
        <v>44</v>
      </c>
      <c r="E6" s="34" t="s">
        <v>38</v>
      </c>
      <c r="F6" s="34" t="s">
        <v>39</v>
      </c>
      <c r="G6" s="34" t="s">
        <v>43</v>
      </c>
      <c r="H6" s="32"/>
      <c r="I6" s="32"/>
      <c r="J6" s="32"/>
      <c r="K6" s="32"/>
    </row>
    <row r="7" spans="1:11" x14ac:dyDescent="0.25">
      <c r="A7" s="21">
        <v>1</v>
      </c>
      <c r="B7" s="21" t="s">
        <v>6</v>
      </c>
      <c r="C7" s="21"/>
      <c r="D7" s="21"/>
      <c r="E7" s="21"/>
      <c r="F7" s="17"/>
      <c r="G7" s="21"/>
      <c r="H7" s="32"/>
      <c r="I7" s="32"/>
      <c r="J7" s="32"/>
      <c r="K7" s="32"/>
    </row>
    <row r="8" spans="1:11" x14ac:dyDescent="0.25">
      <c r="A8" s="21">
        <v>2</v>
      </c>
      <c r="B8" s="21" t="s">
        <v>7</v>
      </c>
      <c r="C8" s="17">
        <v>2279.84</v>
      </c>
      <c r="D8" s="17">
        <v>970.19</v>
      </c>
      <c r="E8" s="17">
        <v>1007.2</v>
      </c>
      <c r="F8" s="17">
        <v>771.13</v>
      </c>
      <c r="G8" s="17">
        <v>797.02</v>
      </c>
      <c r="H8" s="32"/>
      <c r="I8" s="32"/>
      <c r="J8" s="32"/>
      <c r="K8" s="32"/>
    </row>
    <row r="9" spans="1:11" x14ac:dyDescent="0.25">
      <c r="A9" s="21">
        <v>3</v>
      </c>
      <c r="B9" s="21" t="s">
        <v>8</v>
      </c>
      <c r="C9" s="17">
        <v>42.059869999999997</v>
      </c>
      <c r="D9" s="17">
        <v>56.3506</v>
      </c>
      <c r="E9" s="17">
        <v>53.59</v>
      </c>
      <c r="F9" s="17">
        <v>57.22</v>
      </c>
      <c r="G9" s="17">
        <v>71</v>
      </c>
      <c r="H9" s="32"/>
      <c r="I9" s="32"/>
      <c r="J9" s="32"/>
      <c r="K9" s="32"/>
    </row>
    <row r="10" spans="1:11" x14ac:dyDescent="0.25">
      <c r="A10" s="21">
        <v>4</v>
      </c>
      <c r="B10" s="21" t="s">
        <v>9</v>
      </c>
      <c r="C10" s="31">
        <v>79.369119999999995</v>
      </c>
      <c r="D10" s="31">
        <v>81.281049999999993</v>
      </c>
      <c r="E10" s="31">
        <v>87.789760000000001</v>
      </c>
      <c r="F10" s="31">
        <v>93.89</v>
      </c>
      <c r="G10" s="31">
        <v>98.7</v>
      </c>
      <c r="H10" s="32"/>
      <c r="I10" s="32"/>
      <c r="J10" s="32"/>
      <c r="K10" s="32"/>
    </row>
    <row r="11" spans="1:11" ht="45" x14ac:dyDescent="0.25">
      <c r="A11" s="21">
        <v>4.0999999999999996</v>
      </c>
      <c r="B11" s="35" t="s">
        <v>10</v>
      </c>
      <c r="C11" s="36"/>
      <c r="D11" s="36"/>
      <c r="E11" s="36"/>
      <c r="F11" s="36"/>
      <c r="G11" s="17"/>
      <c r="H11" s="32"/>
      <c r="I11" s="32"/>
      <c r="J11" s="32"/>
      <c r="K11" s="32"/>
    </row>
    <row r="12" spans="1:11" x14ac:dyDescent="0.25">
      <c r="A12" s="21">
        <v>5</v>
      </c>
      <c r="B12" s="21" t="s">
        <v>11</v>
      </c>
      <c r="C12" s="17"/>
      <c r="D12" s="17"/>
      <c r="E12" s="17"/>
      <c r="F12" s="17"/>
      <c r="G12" s="17"/>
      <c r="H12" s="32"/>
      <c r="I12" s="32"/>
      <c r="J12" s="32"/>
      <c r="K12" s="32"/>
    </row>
    <row r="13" spans="1:11" x14ac:dyDescent="0.25">
      <c r="A13" s="21">
        <v>6</v>
      </c>
      <c r="B13" s="34" t="s">
        <v>21</v>
      </c>
      <c r="C13" s="17"/>
      <c r="D13" s="17"/>
      <c r="E13" s="17"/>
      <c r="F13" s="17"/>
      <c r="G13" s="17"/>
      <c r="H13" s="32"/>
      <c r="I13" s="32"/>
      <c r="J13" s="32"/>
      <c r="K13" s="32"/>
    </row>
    <row r="14" spans="1:11" x14ac:dyDescent="0.25">
      <c r="A14" s="21">
        <v>6.1</v>
      </c>
      <c r="B14" s="21" t="s">
        <v>12</v>
      </c>
      <c r="C14" s="17">
        <v>0.27689000000000002</v>
      </c>
      <c r="D14" s="17"/>
      <c r="E14" s="17">
        <v>-0.12</v>
      </c>
      <c r="F14" s="17"/>
      <c r="G14" s="17"/>
      <c r="H14" s="32"/>
      <c r="I14" s="32"/>
      <c r="J14" s="32"/>
      <c r="K14" s="32"/>
    </row>
    <row r="15" spans="1:11" x14ac:dyDescent="0.25">
      <c r="A15" s="21">
        <v>6.2</v>
      </c>
      <c r="B15" s="21" t="s">
        <v>13</v>
      </c>
      <c r="C15" s="17">
        <v>29.21</v>
      </c>
      <c r="D15" s="17">
        <v>72.36</v>
      </c>
      <c r="E15" s="17">
        <v>21.78</v>
      </c>
      <c r="F15" s="17">
        <v>24.78</v>
      </c>
      <c r="G15" s="17">
        <v>70.92</v>
      </c>
      <c r="H15" s="32"/>
      <c r="I15" s="32"/>
      <c r="J15" s="32"/>
      <c r="K15" s="32"/>
    </row>
    <row r="16" spans="1:11" x14ac:dyDescent="0.25">
      <c r="A16" s="21">
        <v>6.3</v>
      </c>
      <c r="B16" s="21" t="s">
        <v>14</v>
      </c>
      <c r="C16" s="17">
        <v>21.598800000000001</v>
      </c>
      <c r="D16" s="17">
        <v>27.83</v>
      </c>
      <c r="E16" s="17">
        <v>32.18</v>
      </c>
      <c r="F16" s="17">
        <v>27.77</v>
      </c>
      <c r="G16" s="17">
        <v>43.834339999999997</v>
      </c>
      <c r="H16" s="32"/>
      <c r="I16" s="32"/>
      <c r="J16" s="32"/>
      <c r="K16" s="32"/>
    </row>
    <row r="17" spans="1:11" x14ac:dyDescent="0.25">
      <c r="A17" s="21">
        <v>6.4</v>
      </c>
      <c r="B17" s="21" t="s">
        <v>15</v>
      </c>
      <c r="C17" s="17">
        <v>4.8801199999999998</v>
      </c>
      <c r="D17" s="17">
        <v>3.65</v>
      </c>
      <c r="E17" s="17">
        <v>4.1399999999999997</v>
      </c>
      <c r="F17" s="17">
        <v>3.74</v>
      </c>
      <c r="G17" s="17">
        <v>13.38</v>
      </c>
      <c r="H17" s="32"/>
      <c r="I17" s="32"/>
      <c r="J17" s="32"/>
      <c r="K17" s="32"/>
    </row>
    <row r="18" spans="1:11" x14ac:dyDescent="0.25">
      <c r="A18" s="21">
        <v>6.5</v>
      </c>
      <c r="B18" s="21" t="s">
        <v>16</v>
      </c>
      <c r="C18" s="17">
        <v>2.6410200000000001</v>
      </c>
      <c r="D18" s="17">
        <v>0.92</v>
      </c>
      <c r="E18" s="17">
        <v>5.98</v>
      </c>
      <c r="F18" s="17">
        <v>24.11</v>
      </c>
      <c r="G18" s="17">
        <v>13.22</v>
      </c>
      <c r="H18" s="32"/>
      <c r="I18" s="32"/>
      <c r="J18" s="32"/>
      <c r="K18" s="32"/>
    </row>
    <row r="19" spans="1:11" x14ac:dyDescent="0.25">
      <c r="A19" s="21">
        <v>6.6</v>
      </c>
      <c r="B19" s="21" t="s">
        <v>17</v>
      </c>
      <c r="C19" s="17"/>
      <c r="D19" s="17"/>
      <c r="E19" s="17"/>
      <c r="F19" s="17"/>
      <c r="G19" s="17"/>
      <c r="H19" s="32"/>
      <c r="I19" s="32"/>
      <c r="J19" s="32"/>
      <c r="K19" s="32"/>
    </row>
    <row r="20" spans="1:11" x14ac:dyDescent="0.25">
      <c r="A20" s="21">
        <v>6.7</v>
      </c>
      <c r="B20" s="21" t="s">
        <v>18</v>
      </c>
      <c r="C20" s="17"/>
      <c r="D20" s="17"/>
      <c r="E20" s="17"/>
      <c r="F20" s="17"/>
      <c r="G20" s="17"/>
      <c r="H20" s="32"/>
      <c r="I20" s="32"/>
      <c r="J20" s="32"/>
      <c r="K20" s="32"/>
    </row>
    <row r="21" spans="1:11" x14ac:dyDescent="0.25">
      <c r="A21" s="21">
        <v>6.8</v>
      </c>
      <c r="B21" s="21" t="s">
        <v>41</v>
      </c>
      <c r="C21" s="17"/>
      <c r="D21" s="17"/>
      <c r="E21" s="17">
        <v>0.19</v>
      </c>
      <c r="F21" s="17"/>
      <c r="G21" s="17"/>
      <c r="H21" s="32"/>
      <c r="I21" s="32"/>
      <c r="J21" s="32"/>
      <c r="K21" s="32"/>
    </row>
    <row r="22" spans="1:11" x14ac:dyDescent="0.25">
      <c r="A22" s="21">
        <v>6.9</v>
      </c>
      <c r="B22" s="21" t="s">
        <v>19</v>
      </c>
      <c r="C22" s="17">
        <v>6.7600000000000007</v>
      </c>
      <c r="D22" s="17">
        <v>6</v>
      </c>
      <c r="E22" s="17">
        <v>0.6</v>
      </c>
      <c r="F22" s="17">
        <v>3.7</v>
      </c>
      <c r="G22" s="17">
        <v>7.54</v>
      </c>
      <c r="H22" s="32"/>
      <c r="I22" s="32"/>
      <c r="J22" s="32"/>
      <c r="K22" s="32"/>
    </row>
    <row r="23" spans="1:11" x14ac:dyDescent="0.25">
      <c r="A23" s="34"/>
      <c r="B23" s="34" t="s">
        <v>20</v>
      </c>
      <c r="C23" s="34">
        <f>SUM(C14:C22)</f>
        <v>65.366829999999993</v>
      </c>
      <c r="D23" s="34">
        <f t="shared" ref="D23:G23" si="0">SUM(D14:D22)</f>
        <v>110.76</v>
      </c>
      <c r="E23" s="34">
        <f t="shared" si="0"/>
        <v>64.75</v>
      </c>
      <c r="F23" s="34">
        <f t="shared" si="0"/>
        <v>84.100000000000009</v>
      </c>
      <c r="G23" s="34">
        <f t="shared" si="0"/>
        <v>148.89434</v>
      </c>
      <c r="H23" s="32"/>
      <c r="I23" s="32"/>
      <c r="J23" s="32"/>
      <c r="K23" s="32"/>
    </row>
    <row r="24" spans="1:11" x14ac:dyDescent="0.25">
      <c r="A24" s="21">
        <v>7</v>
      </c>
      <c r="B24" s="34" t="s">
        <v>22</v>
      </c>
      <c r="C24" s="21"/>
      <c r="D24" s="21"/>
      <c r="E24" s="21"/>
      <c r="F24" s="21"/>
      <c r="G24" s="21"/>
      <c r="H24" s="32"/>
      <c r="I24" s="32"/>
      <c r="J24" s="32"/>
      <c r="K24" s="32"/>
    </row>
    <row r="25" spans="1:11" x14ac:dyDescent="0.25">
      <c r="A25" s="21">
        <v>7.1</v>
      </c>
      <c r="B25" s="21" t="s">
        <v>23</v>
      </c>
      <c r="C25" s="21">
        <v>1899.6049931351188</v>
      </c>
      <c r="D25" s="21">
        <v>1410.37</v>
      </c>
      <c r="E25" s="21">
        <v>1520.77</v>
      </c>
      <c r="F25" s="21">
        <v>1655.85</v>
      </c>
      <c r="G25" s="21">
        <v>2846.9600000000005</v>
      </c>
      <c r="H25" s="32"/>
      <c r="I25" s="32"/>
      <c r="J25" s="32"/>
      <c r="K25" s="32"/>
    </row>
    <row r="26" spans="1:11" x14ac:dyDescent="0.25">
      <c r="A26" s="21">
        <v>7.2</v>
      </c>
      <c r="B26" s="21" t="s">
        <v>24</v>
      </c>
      <c r="C26" s="21">
        <f>+C98</f>
        <v>187.56713000000002</v>
      </c>
      <c r="D26" s="21">
        <f t="shared" ref="D26:G26" si="1">+D98</f>
        <v>113.55</v>
      </c>
      <c r="E26" s="21">
        <f t="shared" si="1"/>
        <v>296.65000000000003</v>
      </c>
      <c r="F26" s="21">
        <f t="shared" si="1"/>
        <v>231.72165000000004</v>
      </c>
      <c r="G26" s="21">
        <f t="shared" si="1"/>
        <v>345.36000000000007</v>
      </c>
      <c r="H26" s="32"/>
      <c r="I26" s="32"/>
      <c r="J26" s="32"/>
      <c r="K26" s="32"/>
    </row>
    <row r="27" spans="1:11" x14ac:dyDescent="0.25">
      <c r="A27" s="21">
        <v>7.3</v>
      </c>
      <c r="B27" s="21" t="s">
        <v>25</v>
      </c>
      <c r="C27" s="21"/>
      <c r="D27" s="21"/>
      <c r="E27" s="21"/>
      <c r="F27" s="21"/>
      <c r="G27" s="21"/>
      <c r="H27" s="32"/>
      <c r="I27" s="32"/>
      <c r="J27" s="32"/>
      <c r="K27" s="32"/>
    </row>
    <row r="28" spans="1:11" x14ac:dyDescent="0.25">
      <c r="A28" s="21">
        <v>7.4</v>
      </c>
      <c r="B28" s="21" t="s">
        <v>26</v>
      </c>
      <c r="C28" s="21"/>
      <c r="D28" s="21"/>
      <c r="E28" s="21"/>
      <c r="F28" s="21"/>
      <c r="G28" s="21"/>
      <c r="H28" s="32"/>
      <c r="I28" s="32"/>
      <c r="J28" s="32"/>
      <c r="K28" s="32"/>
    </row>
    <row r="29" spans="1:11" x14ac:dyDescent="0.25">
      <c r="A29" s="21">
        <v>7.5</v>
      </c>
      <c r="B29" s="21" t="s">
        <v>27</v>
      </c>
      <c r="C29" s="21"/>
      <c r="D29" s="21"/>
      <c r="E29" s="21"/>
      <c r="F29" s="21"/>
      <c r="G29" s="21"/>
      <c r="H29" s="32"/>
      <c r="I29" s="32"/>
      <c r="J29" s="32"/>
      <c r="K29" s="32"/>
    </row>
    <row r="30" spans="1:11" x14ac:dyDescent="0.25">
      <c r="A30" s="21">
        <v>7.6</v>
      </c>
      <c r="B30" s="21" t="s">
        <v>42</v>
      </c>
      <c r="C30" s="21">
        <v>76.22</v>
      </c>
      <c r="D30" s="21">
        <v>55.75</v>
      </c>
      <c r="E30" s="21">
        <v>124.22000000000001</v>
      </c>
      <c r="F30" s="21">
        <v>113.32000000000001</v>
      </c>
      <c r="G30" s="21">
        <v>85.14</v>
      </c>
      <c r="H30" s="32"/>
      <c r="I30" s="32"/>
      <c r="J30" s="32"/>
      <c r="K30" s="32"/>
    </row>
    <row r="31" spans="1:11" x14ac:dyDescent="0.25">
      <c r="A31" s="34"/>
      <c r="B31" s="34" t="s">
        <v>28</v>
      </c>
      <c r="C31" s="34">
        <f>SUM(C25:C30)</f>
        <v>2163.3921231351187</v>
      </c>
      <c r="D31" s="34">
        <f t="shared" ref="D31:G31" si="2">SUM(D25:D30)</f>
        <v>1579.6699999999998</v>
      </c>
      <c r="E31" s="34">
        <f t="shared" si="2"/>
        <v>1941.64</v>
      </c>
      <c r="F31" s="34">
        <f t="shared" si="2"/>
        <v>2000.8916499999998</v>
      </c>
      <c r="G31" s="34">
        <f t="shared" si="2"/>
        <v>3277.4600000000005</v>
      </c>
      <c r="H31" s="32"/>
      <c r="I31" s="32"/>
      <c r="J31" s="32"/>
      <c r="K31" s="32"/>
    </row>
    <row r="32" spans="1:11" x14ac:dyDescent="0.25">
      <c r="A32" s="21">
        <v>8</v>
      </c>
      <c r="B32" s="21" t="s">
        <v>87</v>
      </c>
      <c r="C32" s="37"/>
      <c r="D32" s="37">
        <v>0</v>
      </c>
      <c r="E32" s="37"/>
      <c r="F32" s="37">
        <v>0.66729000000000005</v>
      </c>
      <c r="G32" s="37"/>
      <c r="H32" s="32"/>
      <c r="I32" s="32"/>
      <c r="J32" s="32"/>
      <c r="K32" s="32"/>
    </row>
    <row r="33" spans="1:11" x14ac:dyDescent="0.25">
      <c r="A33" s="21">
        <v>9</v>
      </c>
      <c r="B33" s="21" t="s">
        <v>29</v>
      </c>
      <c r="C33" s="21"/>
      <c r="D33" s="21"/>
      <c r="E33" s="21"/>
      <c r="F33" s="21"/>
      <c r="G33" s="21"/>
      <c r="H33" s="32"/>
      <c r="I33" s="32"/>
      <c r="J33" s="32"/>
      <c r="K33" s="32"/>
    </row>
    <row r="34" spans="1:11" x14ac:dyDescent="0.25">
      <c r="A34" s="21">
        <v>10</v>
      </c>
      <c r="B34" s="21" t="s">
        <v>30</v>
      </c>
      <c r="C34" s="21">
        <v>-76.31</v>
      </c>
      <c r="D34" s="21">
        <v>172.25345999999999</v>
      </c>
      <c r="E34" s="21">
        <v>-922.18</v>
      </c>
      <c r="F34" s="21"/>
      <c r="G34" s="21"/>
      <c r="H34" s="32"/>
      <c r="I34" s="32"/>
      <c r="J34" s="32"/>
      <c r="K34" s="32"/>
    </row>
    <row r="35" spans="1:11" ht="21.75" customHeight="1" x14ac:dyDescent="0.25">
      <c r="A35" s="21">
        <v>11</v>
      </c>
      <c r="B35" s="21" t="s">
        <v>31</v>
      </c>
      <c r="C35" s="21">
        <v>1005.39</v>
      </c>
      <c r="D35" s="21">
        <v>1425.17</v>
      </c>
      <c r="E35" s="21">
        <v>1457.76</v>
      </c>
      <c r="F35" s="21">
        <v>1341.71</v>
      </c>
      <c r="G35" s="21">
        <v>359.45</v>
      </c>
      <c r="H35" s="32"/>
      <c r="I35" s="32"/>
      <c r="J35" s="32"/>
      <c r="K35" s="32"/>
    </row>
    <row r="36" spans="1:11" ht="21.75" customHeight="1" x14ac:dyDescent="0.25">
      <c r="A36" s="21">
        <v>12</v>
      </c>
      <c r="B36" s="21" t="s">
        <v>32</v>
      </c>
      <c r="C36" s="21">
        <f>+C83</f>
        <v>996.34506999999996</v>
      </c>
      <c r="D36" s="21">
        <f t="shared" ref="D36:G36" si="3">+D83</f>
        <v>579.97991999999999</v>
      </c>
      <c r="E36" s="21">
        <f t="shared" si="3"/>
        <v>492.93999999999994</v>
      </c>
      <c r="F36" s="21">
        <f t="shared" si="3"/>
        <v>2732.9863777999999</v>
      </c>
      <c r="G36" s="21">
        <f t="shared" si="3"/>
        <v>501.78000000000003</v>
      </c>
      <c r="H36" s="32"/>
      <c r="I36" s="32"/>
      <c r="J36" s="32"/>
      <c r="K36" s="32"/>
    </row>
    <row r="37" spans="1:11" ht="21.75" customHeight="1" x14ac:dyDescent="0.25">
      <c r="A37" s="34"/>
      <c r="B37" s="34" t="s">
        <v>33</v>
      </c>
      <c r="C37" s="34">
        <f>+C7+C8+C9+C10+C23+C31+C32+C33+C34+C35+C36</f>
        <v>6555.4530131351194</v>
      </c>
      <c r="D37" s="34">
        <f t="shared" ref="D37:G37" si="4">+D7+D8+D9+D10+D23+D31+D32+D33+D34+D35+D36</f>
        <v>4975.6550299999999</v>
      </c>
      <c r="E37" s="34">
        <f t="shared" si="4"/>
        <v>4183.4897599999995</v>
      </c>
      <c r="F37" s="34">
        <f t="shared" si="4"/>
        <v>7082.5953178</v>
      </c>
      <c r="G37" s="34">
        <f t="shared" si="4"/>
        <v>5254.3043400000006</v>
      </c>
      <c r="H37" s="32"/>
      <c r="I37" s="32"/>
      <c r="J37" s="32"/>
      <c r="K37" s="32"/>
    </row>
    <row r="38" spans="1:11" ht="21.75" customHeight="1" x14ac:dyDescent="0.25">
      <c r="A38" s="21"/>
      <c r="B38" s="21" t="s">
        <v>34</v>
      </c>
      <c r="C38" s="21">
        <f>13.61+20.74+0.02</f>
        <v>34.369999999999997</v>
      </c>
      <c r="D38" s="21">
        <f>137.14+20.74</f>
        <v>157.88</v>
      </c>
      <c r="E38" s="21">
        <f>61.35+20.74</f>
        <v>82.09</v>
      </c>
      <c r="F38" s="21">
        <f>26.82+20.74</f>
        <v>47.56</v>
      </c>
      <c r="G38" s="21">
        <f>18.48+20.74</f>
        <v>39.22</v>
      </c>
      <c r="H38" s="32"/>
      <c r="I38" s="32"/>
      <c r="J38" s="32"/>
      <c r="K38" s="32"/>
    </row>
    <row r="39" spans="1:11" ht="21.75" customHeight="1" x14ac:dyDescent="0.25">
      <c r="A39" s="21"/>
      <c r="B39" s="21" t="s">
        <v>35</v>
      </c>
      <c r="C39" s="21">
        <f>+C37-C38</f>
        <v>6521.0830131351195</v>
      </c>
      <c r="D39" s="21">
        <f t="shared" ref="D39:G39" si="5">+D37-D38</f>
        <v>4817.7750299999998</v>
      </c>
      <c r="E39" s="21">
        <f t="shared" si="5"/>
        <v>4101.3997599999993</v>
      </c>
      <c r="F39" s="21">
        <f t="shared" si="5"/>
        <v>7035.0353177999996</v>
      </c>
      <c r="G39" s="21">
        <f t="shared" si="5"/>
        <v>5215.0843400000003</v>
      </c>
      <c r="H39" s="32"/>
      <c r="I39" s="32"/>
      <c r="J39" s="32"/>
      <c r="K39" s="32"/>
    </row>
    <row r="40" spans="1:11" ht="48" customHeight="1" x14ac:dyDescent="0.25">
      <c r="A40" s="21"/>
      <c r="B40" s="39" t="s">
        <v>36</v>
      </c>
      <c r="C40" s="40"/>
      <c r="D40" s="40"/>
      <c r="E40" s="40"/>
      <c r="F40" s="40"/>
      <c r="G40" s="40"/>
      <c r="H40" s="32"/>
      <c r="I40" s="32"/>
      <c r="J40" s="32"/>
      <c r="K40" s="32"/>
    </row>
    <row r="41" spans="1:11" ht="21.75" customHeight="1" x14ac:dyDescent="0.25">
      <c r="A41" s="21"/>
      <c r="B41" s="21"/>
      <c r="C41" s="21"/>
      <c r="D41" s="21"/>
      <c r="E41" s="21"/>
      <c r="F41" s="21"/>
      <c r="G41" s="21"/>
      <c r="H41" s="32"/>
      <c r="I41" s="32"/>
      <c r="J41" s="32"/>
      <c r="K41" s="32"/>
    </row>
    <row r="42" spans="1:11" x14ac:dyDescent="0.25">
      <c r="A42" s="77" t="s">
        <v>158</v>
      </c>
      <c r="B42" s="4"/>
      <c r="C42" s="4"/>
      <c r="D42" s="4"/>
      <c r="E42" s="4"/>
      <c r="F42" s="6"/>
      <c r="G42" s="4"/>
    </row>
    <row r="43" spans="1:11" ht="45" x14ac:dyDescent="0.25">
      <c r="A43" s="73"/>
      <c r="B43" s="79" t="s">
        <v>160</v>
      </c>
      <c r="C43" s="75"/>
      <c r="D43" s="75"/>
      <c r="E43" s="75"/>
      <c r="F43" s="76"/>
      <c r="G43" s="80">
        <v>130.9</v>
      </c>
      <c r="H43" s="32"/>
      <c r="I43" s="32"/>
      <c r="J43" s="32"/>
      <c r="K43" s="32"/>
    </row>
    <row r="44" spans="1:11" x14ac:dyDescent="0.25">
      <c r="A44" s="85"/>
      <c r="B44" s="88"/>
      <c r="C44" s="26"/>
      <c r="D44" s="26"/>
      <c r="E44" s="26"/>
      <c r="F44" s="15"/>
      <c r="G44" s="15"/>
      <c r="H44" s="32"/>
      <c r="I44" s="32"/>
      <c r="J44" s="32"/>
      <c r="K44" s="32"/>
    </row>
    <row r="45" spans="1:11" x14ac:dyDescent="0.25">
      <c r="A45" s="153" t="s">
        <v>46</v>
      </c>
      <c r="B45" s="153"/>
      <c r="C45" s="153"/>
      <c r="D45" s="153"/>
      <c r="E45" s="153"/>
      <c r="F45" s="153"/>
      <c r="G45" s="153"/>
      <c r="H45" s="32"/>
      <c r="I45" s="32"/>
      <c r="J45" s="32"/>
      <c r="K45" s="32"/>
    </row>
    <row r="46" spans="1:11" x14ac:dyDescent="0.25">
      <c r="A46" s="21" t="s">
        <v>37</v>
      </c>
      <c r="B46" s="72" t="s">
        <v>188</v>
      </c>
      <c r="C46" s="34" t="s">
        <v>45</v>
      </c>
      <c r="D46" s="34" t="s">
        <v>44</v>
      </c>
      <c r="E46" s="34" t="s">
        <v>38</v>
      </c>
      <c r="F46" s="34" t="s">
        <v>39</v>
      </c>
      <c r="G46" s="34" t="s">
        <v>43</v>
      </c>
      <c r="H46" s="32"/>
      <c r="I46" s="32"/>
      <c r="J46" s="32"/>
      <c r="K46" s="32"/>
    </row>
    <row r="47" spans="1:11" x14ac:dyDescent="0.25">
      <c r="A47" s="44">
        <v>1</v>
      </c>
      <c r="B47" s="5" t="s">
        <v>93</v>
      </c>
      <c r="C47" s="21"/>
      <c r="D47" s="21"/>
      <c r="E47" s="21">
        <v>0.55000000000000004</v>
      </c>
      <c r="F47" s="21">
        <v>212.19</v>
      </c>
      <c r="G47" s="21"/>
      <c r="H47" s="32"/>
      <c r="I47" s="32"/>
      <c r="J47" s="32"/>
      <c r="K47" s="32"/>
    </row>
    <row r="48" spans="1:11" x14ac:dyDescent="0.25">
      <c r="A48" s="44">
        <v>2</v>
      </c>
      <c r="B48" s="21" t="s">
        <v>47</v>
      </c>
      <c r="C48" s="21">
        <v>0</v>
      </c>
      <c r="D48" s="21"/>
      <c r="E48" s="21"/>
      <c r="F48" s="21">
        <v>0</v>
      </c>
      <c r="G48" s="21">
        <v>0.25</v>
      </c>
      <c r="H48" s="32"/>
      <c r="I48" s="32"/>
      <c r="J48" s="32"/>
      <c r="K48" s="32"/>
    </row>
    <row r="49" spans="1:11" x14ac:dyDescent="0.25">
      <c r="A49" s="44">
        <v>3</v>
      </c>
      <c r="B49" s="21" t="s">
        <v>50</v>
      </c>
      <c r="C49" s="21">
        <v>0.15812000000000001</v>
      </c>
      <c r="D49" s="21">
        <v>1.46</v>
      </c>
      <c r="E49" s="21">
        <v>18.899999999999999</v>
      </c>
      <c r="F49" s="21">
        <v>71.916439999999994</v>
      </c>
      <c r="G49" s="21">
        <v>-49.78</v>
      </c>
      <c r="H49" s="32"/>
      <c r="I49" s="32"/>
      <c r="J49" s="32"/>
      <c r="K49" s="32"/>
    </row>
    <row r="50" spans="1:11" x14ac:dyDescent="0.25">
      <c r="A50" s="44">
        <v>4</v>
      </c>
      <c r="B50" s="21" t="s">
        <v>51</v>
      </c>
      <c r="C50" s="21">
        <v>0</v>
      </c>
      <c r="D50" s="21"/>
      <c r="E50" s="21"/>
      <c r="F50" s="21">
        <v>0</v>
      </c>
      <c r="G50" s="21">
        <v>0</v>
      </c>
      <c r="H50" s="32"/>
      <c r="I50" s="32"/>
      <c r="J50" s="32"/>
      <c r="K50" s="32"/>
    </row>
    <row r="51" spans="1:11" x14ac:dyDescent="0.25">
      <c r="A51" s="44">
        <v>5</v>
      </c>
      <c r="B51" s="21" t="s">
        <v>48</v>
      </c>
      <c r="C51" s="21">
        <v>488.4</v>
      </c>
      <c r="D51" s="21">
        <v>7.64</v>
      </c>
      <c r="E51" s="21">
        <v>0.01</v>
      </c>
      <c r="F51" s="21"/>
      <c r="G51" s="21"/>
      <c r="H51" s="32"/>
      <c r="I51" s="32"/>
      <c r="J51" s="32"/>
      <c r="K51" s="32"/>
    </row>
    <row r="52" spans="1:11" x14ac:dyDescent="0.25">
      <c r="A52" s="44">
        <v>6</v>
      </c>
      <c r="B52" s="21" t="s">
        <v>49</v>
      </c>
      <c r="C52" s="21">
        <v>0</v>
      </c>
      <c r="D52" s="21"/>
      <c r="E52" s="21"/>
      <c r="F52" s="21">
        <v>1995.99</v>
      </c>
      <c r="G52" s="21">
        <v>78.66</v>
      </c>
      <c r="H52" s="32"/>
      <c r="I52" s="32"/>
      <c r="J52" s="32"/>
      <c r="K52" s="32"/>
    </row>
    <row r="53" spans="1:11" x14ac:dyDescent="0.25">
      <c r="A53" s="44">
        <v>7</v>
      </c>
      <c r="B53" s="21" t="s">
        <v>92</v>
      </c>
      <c r="C53" s="21">
        <v>141.28</v>
      </c>
      <c r="D53" s="21">
        <v>136.41</v>
      </c>
      <c r="E53" s="21">
        <v>74.66</v>
      </c>
      <c r="F53" s="21">
        <v>36.837600000000002</v>
      </c>
      <c r="G53" s="21"/>
      <c r="H53" s="32"/>
      <c r="I53" s="32"/>
      <c r="J53" s="32"/>
      <c r="K53" s="32"/>
    </row>
    <row r="54" spans="1:11" x14ac:dyDescent="0.25">
      <c r="A54" s="44">
        <v>8</v>
      </c>
      <c r="B54" s="21" t="s">
        <v>52</v>
      </c>
      <c r="C54" s="21">
        <v>0</v>
      </c>
      <c r="D54" s="21">
        <v>0.05</v>
      </c>
      <c r="E54" s="21">
        <v>0.27</v>
      </c>
      <c r="F54" s="21"/>
      <c r="G54" s="21">
        <v>8.81</v>
      </c>
      <c r="H54" s="32"/>
      <c r="I54" s="32"/>
      <c r="J54" s="32"/>
      <c r="K54" s="32"/>
    </row>
    <row r="55" spans="1:11" x14ac:dyDescent="0.25">
      <c r="A55" s="44">
        <v>9</v>
      </c>
      <c r="B55" s="21" t="s">
        <v>53</v>
      </c>
      <c r="C55" s="21">
        <v>1.53901</v>
      </c>
      <c r="D55" s="21">
        <v>2.31</v>
      </c>
      <c r="E55" s="21">
        <v>0.96</v>
      </c>
      <c r="F55" s="42">
        <v>10.38706</v>
      </c>
      <c r="G55" s="21">
        <v>3.38</v>
      </c>
      <c r="H55" s="32"/>
      <c r="I55" s="32"/>
      <c r="J55" s="32"/>
      <c r="K55" s="32"/>
    </row>
    <row r="56" spans="1:11" x14ac:dyDescent="0.25">
      <c r="A56" s="44">
        <v>10</v>
      </c>
      <c r="B56" s="21" t="s">
        <v>54</v>
      </c>
      <c r="C56" s="21">
        <v>5.9800000000000001E-3</v>
      </c>
      <c r="D56" s="21"/>
      <c r="E56" s="21">
        <v>0.01</v>
      </c>
      <c r="F56" s="21"/>
      <c r="G56" s="21"/>
      <c r="H56" s="32"/>
      <c r="I56" s="32"/>
      <c r="J56" s="32"/>
      <c r="K56" s="32"/>
    </row>
    <row r="57" spans="1:11" x14ac:dyDescent="0.25">
      <c r="A57" s="44">
        <v>11</v>
      </c>
      <c r="B57" s="21" t="s">
        <v>91</v>
      </c>
      <c r="C57" s="21"/>
      <c r="D57" s="21"/>
      <c r="E57" s="21"/>
      <c r="F57" s="21"/>
      <c r="G57" s="21">
        <v>12.61</v>
      </c>
      <c r="H57" s="32"/>
      <c r="I57" s="32"/>
      <c r="J57" s="32"/>
      <c r="K57" s="32"/>
    </row>
    <row r="58" spans="1:11" x14ac:dyDescent="0.25">
      <c r="A58" s="44">
        <v>12</v>
      </c>
      <c r="B58" s="21" t="s">
        <v>67</v>
      </c>
      <c r="C58" s="21">
        <v>0.59702999999999995</v>
      </c>
      <c r="D58" s="21">
        <v>5.89</v>
      </c>
      <c r="E58" s="21">
        <v>3.47</v>
      </c>
      <c r="F58" s="42">
        <v>6.9864899999999999</v>
      </c>
      <c r="G58" s="21">
        <v>6.7</v>
      </c>
      <c r="H58" s="32"/>
      <c r="I58" s="32"/>
      <c r="J58" s="32"/>
      <c r="K58" s="32"/>
    </row>
    <row r="59" spans="1:11" x14ac:dyDescent="0.25">
      <c r="A59" s="44">
        <v>13</v>
      </c>
      <c r="B59" s="21" t="s">
        <v>66</v>
      </c>
      <c r="C59" s="21"/>
      <c r="D59" s="21"/>
      <c r="E59" s="21"/>
      <c r="F59" s="21"/>
      <c r="G59" s="21"/>
      <c r="H59" s="32"/>
      <c r="I59" s="32"/>
      <c r="J59" s="32"/>
      <c r="K59" s="32"/>
    </row>
    <row r="60" spans="1:11" x14ac:dyDescent="0.25">
      <c r="A60" s="44">
        <v>14</v>
      </c>
      <c r="B60" s="42" t="s">
        <v>81</v>
      </c>
      <c r="C60" s="21">
        <v>58.656260000000003</v>
      </c>
      <c r="D60" s="21">
        <v>87.69</v>
      </c>
      <c r="E60" s="21">
        <v>68.37</v>
      </c>
      <c r="F60" s="21">
        <v>50.836910000000003</v>
      </c>
      <c r="G60" s="21">
        <v>45.6</v>
      </c>
      <c r="H60" s="32"/>
      <c r="I60" s="32"/>
      <c r="J60" s="32"/>
      <c r="K60" s="32"/>
    </row>
    <row r="61" spans="1:11" x14ac:dyDescent="0.25">
      <c r="A61" s="44">
        <v>15</v>
      </c>
      <c r="B61" s="42" t="s">
        <v>82</v>
      </c>
      <c r="C61" s="21">
        <v>22.21</v>
      </c>
      <c r="D61" s="21">
        <v>70.39</v>
      </c>
      <c r="E61" s="21">
        <v>9.2799999999999994</v>
      </c>
      <c r="F61" s="21"/>
      <c r="G61" s="21">
        <v>163.80000000000001</v>
      </c>
      <c r="H61" s="32"/>
      <c r="I61" s="32"/>
      <c r="J61" s="32"/>
      <c r="K61" s="32"/>
    </row>
    <row r="62" spans="1:11" x14ac:dyDescent="0.25">
      <c r="A62" s="44">
        <v>16</v>
      </c>
      <c r="B62" s="42" t="s">
        <v>83</v>
      </c>
      <c r="C62" s="21">
        <v>45.599120000000006</v>
      </c>
      <c r="D62" s="21">
        <v>7.91</v>
      </c>
      <c r="E62" s="21"/>
      <c r="F62" s="21"/>
      <c r="G62" s="21"/>
      <c r="H62" s="32"/>
      <c r="I62" s="32"/>
      <c r="J62" s="32"/>
      <c r="K62" s="32"/>
    </row>
    <row r="63" spans="1:11" x14ac:dyDescent="0.25">
      <c r="A63" s="44">
        <v>17</v>
      </c>
      <c r="B63" s="21" t="s">
        <v>84</v>
      </c>
      <c r="C63" s="21">
        <v>15.23</v>
      </c>
      <c r="D63" s="21">
        <v>21.52</v>
      </c>
      <c r="E63" s="21">
        <v>17.98</v>
      </c>
      <c r="F63" s="21">
        <v>18.96</v>
      </c>
      <c r="G63" s="21">
        <v>9.43</v>
      </c>
      <c r="H63" s="32"/>
      <c r="I63" s="32"/>
      <c r="J63" s="32"/>
      <c r="K63" s="32"/>
    </row>
    <row r="64" spans="1:11" x14ac:dyDescent="0.25">
      <c r="A64" s="44">
        <v>18</v>
      </c>
      <c r="B64" s="21" t="s">
        <v>85</v>
      </c>
      <c r="C64" s="21">
        <v>61.289949999999997</v>
      </c>
      <c r="D64" s="21">
        <v>82.07</v>
      </c>
      <c r="E64" s="21">
        <v>130.18</v>
      </c>
      <c r="F64" s="21">
        <v>136.65</v>
      </c>
      <c r="G64" s="42">
        <v>79.900000000000006</v>
      </c>
      <c r="H64" s="32"/>
      <c r="I64" s="32"/>
      <c r="J64" s="32"/>
      <c r="K64" s="32"/>
    </row>
    <row r="65" spans="1:11" x14ac:dyDescent="0.25">
      <c r="A65" s="44">
        <v>19</v>
      </c>
      <c r="B65" s="21" t="s">
        <v>89</v>
      </c>
      <c r="C65" s="21"/>
      <c r="D65" s="21"/>
      <c r="E65" s="21"/>
      <c r="F65" s="21">
        <v>0.61714000000000002</v>
      </c>
      <c r="G65" s="21">
        <v>2.17</v>
      </c>
      <c r="H65" s="32"/>
      <c r="I65" s="32"/>
      <c r="J65" s="32"/>
      <c r="K65" s="32"/>
    </row>
    <row r="66" spans="1:11" x14ac:dyDescent="0.25">
      <c r="A66" s="44">
        <v>20</v>
      </c>
      <c r="B66" s="21" t="s">
        <v>69</v>
      </c>
      <c r="C66" s="21">
        <v>53.677340000000001</v>
      </c>
      <c r="D66" s="21">
        <v>58.52</v>
      </c>
      <c r="E66" s="21">
        <v>59.15</v>
      </c>
      <c r="F66" s="21">
        <v>59.24</v>
      </c>
      <c r="G66" s="21">
        <v>61.22</v>
      </c>
      <c r="H66" s="32"/>
      <c r="I66" s="32"/>
      <c r="J66" s="32"/>
      <c r="K66" s="32"/>
    </row>
    <row r="67" spans="1:11" x14ac:dyDescent="0.25">
      <c r="A67" s="44">
        <v>21</v>
      </c>
      <c r="B67" s="21" t="s">
        <v>68</v>
      </c>
      <c r="C67" s="21">
        <v>4.9677300000000004</v>
      </c>
      <c r="D67" s="21">
        <v>6.49</v>
      </c>
      <c r="E67" s="21">
        <v>4.33</v>
      </c>
      <c r="F67" s="21">
        <v>5.2389700000000001</v>
      </c>
      <c r="G67" s="21">
        <v>6.92</v>
      </c>
      <c r="H67" s="32"/>
      <c r="I67" s="32"/>
      <c r="J67" s="32"/>
      <c r="K67" s="32"/>
    </row>
    <row r="68" spans="1:11" x14ac:dyDescent="0.25">
      <c r="A68" s="44">
        <v>22</v>
      </c>
      <c r="B68" s="21" t="s">
        <v>55</v>
      </c>
      <c r="C68" s="21">
        <v>0.38775999999999999</v>
      </c>
      <c r="D68" s="21">
        <v>0.32</v>
      </c>
      <c r="E68" s="21">
        <v>0.34</v>
      </c>
      <c r="F68" s="21">
        <v>0.48149999999999998</v>
      </c>
      <c r="G68" s="21">
        <v>0.43</v>
      </c>
      <c r="H68" s="32"/>
      <c r="I68" s="32"/>
      <c r="J68" s="32"/>
      <c r="K68" s="32"/>
    </row>
    <row r="69" spans="1:11" x14ac:dyDescent="0.25">
      <c r="A69" s="44">
        <v>23</v>
      </c>
      <c r="B69" s="21" t="s">
        <v>56</v>
      </c>
      <c r="C69" s="21">
        <v>0.92222000000000004</v>
      </c>
      <c r="D69" s="21">
        <v>1.85</v>
      </c>
      <c r="E69" s="21">
        <v>1.35</v>
      </c>
      <c r="F69" s="21">
        <v>0.86409999999999998</v>
      </c>
      <c r="G69" s="21">
        <v>2.77</v>
      </c>
      <c r="H69" s="32"/>
      <c r="I69" s="32"/>
      <c r="J69" s="32"/>
      <c r="K69" s="32"/>
    </row>
    <row r="70" spans="1:11" x14ac:dyDescent="0.25">
      <c r="A70" s="44">
        <v>24</v>
      </c>
      <c r="B70" s="21" t="s">
        <v>141</v>
      </c>
      <c r="C70" s="21"/>
      <c r="D70" s="21"/>
      <c r="E70" s="21"/>
      <c r="F70" s="21"/>
      <c r="G70" s="21"/>
      <c r="H70" s="32"/>
      <c r="I70" s="32"/>
      <c r="J70" s="32"/>
      <c r="K70" s="32"/>
    </row>
    <row r="71" spans="1:11" x14ac:dyDescent="0.25">
      <c r="A71" s="44">
        <v>25</v>
      </c>
      <c r="B71" s="21" t="s">
        <v>58</v>
      </c>
      <c r="C71" s="21">
        <v>6.2019500000000001</v>
      </c>
      <c r="D71" s="21">
        <v>0.22065000000000001</v>
      </c>
      <c r="E71" s="21">
        <v>0.23</v>
      </c>
      <c r="F71" s="21">
        <v>24.5763508</v>
      </c>
      <c r="G71" s="21">
        <v>0.35</v>
      </c>
      <c r="H71" s="32"/>
      <c r="I71" s="32"/>
      <c r="J71" s="32"/>
      <c r="K71" s="32"/>
    </row>
    <row r="72" spans="1:11" x14ac:dyDescent="0.25">
      <c r="A72" s="44">
        <v>26</v>
      </c>
      <c r="B72" s="21" t="s">
        <v>59</v>
      </c>
      <c r="C72" s="21">
        <v>87.345219999999998</v>
      </c>
      <c r="D72" s="21">
        <v>73.72</v>
      </c>
      <c r="E72" s="21">
        <v>78.2</v>
      </c>
      <c r="F72" s="21">
        <v>10.32</v>
      </c>
      <c r="G72" s="21">
        <v>17.829999999999998</v>
      </c>
      <c r="H72" s="32"/>
      <c r="I72" s="32"/>
      <c r="J72" s="32"/>
      <c r="K72" s="32"/>
    </row>
    <row r="73" spans="1:11" x14ac:dyDescent="0.25">
      <c r="A73" s="44">
        <v>27</v>
      </c>
      <c r="B73" s="21" t="s">
        <v>70</v>
      </c>
      <c r="C73" s="21">
        <v>0.04</v>
      </c>
      <c r="D73" s="21">
        <v>0.85</v>
      </c>
      <c r="E73" s="21">
        <v>0.28000000000000003</v>
      </c>
      <c r="F73" s="21">
        <v>2.0452499999999998</v>
      </c>
      <c r="G73" s="42">
        <v>19</v>
      </c>
      <c r="H73" s="32"/>
      <c r="I73" s="32"/>
      <c r="J73" s="32"/>
      <c r="K73" s="32"/>
    </row>
    <row r="74" spans="1:11" x14ac:dyDescent="0.25">
      <c r="A74" s="44">
        <v>28</v>
      </c>
      <c r="B74" s="21" t="s">
        <v>88</v>
      </c>
      <c r="C74" s="21">
        <v>0.21101</v>
      </c>
      <c r="D74" s="21">
        <v>0.84</v>
      </c>
      <c r="E74" s="21"/>
      <c r="F74" s="21"/>
      <c r="G74" s="21"/>
      <c r="H74" s="32"/>
      <c r="I74" s="32"/>
      <c r="J74" s="32"/>
      <c r="K74" s="32"/>
    </row>
    <row r="75" spans="1:11" x14ac:dyDescent="0.25">
      <c r="A75" s="44">
        <v>29</v>
      </c>
      <c r="B75" s="21" t="s">
        <v>60</v>
      </c>
      <c r="C75" s="21"/>
      <c r="D75" s="21"/>
      <c r="E75" s="21"/>
      <c r="F75" s="21"/>
      <c r="G75" s="21"/>
      <c r="H75" s="32"/>
      <c r="I75" s="32"/>
      <c r="J75" s="32"/>
      <c r="K75" s="32"/>
    </row>
    <row r="76" spans="1:11" x14ac:dyDescent="0.25">
      <c r="A76" s="44">
        <v>30</v>
      </c>
      <c r="B76" s="21" t="s">
        <v>61</v>
      </c>
      <c r="C76" s="21">
        <v>7.58087</v>
      </c>
      <c r="D76" s="21">
        <v>13.545859999999999</v>
      </c>
      <c r="E76" s="21">
        <v>21.4</v>
      </c>
      <c r="F76" s="21">
        <v>23.385067000000003</v>
      </c>
      <c r="G76" s="21">
        <v>16.899999999999999</v>
      </c>
      <c r="H76" s="32"/>
      <c r="I76" s="32"/>
      <c r="J76" s="32"/>
      <c r="K76" s="32"/>
    </row>
    <row r="77" spans="1:11" x14ac:dyDescent="0.25">
      <c r="A77" s="44">
        <v>31</v>
      </c>
      <c r="B77" s="21" t="s">
        <v>62</v>
      </c>
      <c r="C77" s="21"/>
      <c r="D77" s="21"/>
      <c r="E77" s="21">
        <v>2.4500000000000002</v>
      </c>
      <c r="F77" s="21">
        <v>1.09979</v>
      </c>
      <c r="G77" s="21">
        <v>0.54</v>
      </c>
      <c r="H77" s="32"/>
      <c r="I77" s="32"/>
      <c r="J77" s="32"/>
      <c r="K77" s="32"/>
    </row>
    <row r="78" spans="1:11" x14ac:dyDescent="0.25">
      <c r="A78" s="44">
        <v>32</v>
      </c>
      <c r="B78" s="5" t="s">
        <v>63</v>
      </c>
      <c r="C78" s="21">
        <v>3.3000000000000002E-2</v>
      </c>
      <c r="D78" s="21">
        <v>0.20143</v>
      </c>
      <c r="E78" s="21">
        <v>0.16</v>
      </c>
      <c r="F78" s="21"/>
      <c r="G78" s="21"/>
      <c r="H78" s="32"/>
      <c r="I78" s="32"/>
      <c r="J78" s="32"/>
      <c r="K78" s="32"/>
    </row>
    <row r="79" spans="1:11" x14ac:dyDescent="0.25">
      <c r="A79" s="44">
        <v>33</v>
      </c>
      <c r="B79" s="21" t="s">
        <v>64</v>
      </c>
      <c r="C79" s="7">
        <v>1.2500000000000001E-2</v>
      </c>
      <c r="D79" s="21">
        <v>8.1979999999999997E-2</v>
      </c>
      <c r="E79" s="21">
        <v>0.04</v>
      </c>
      <c r="F79" s="21"/>
      <c r="G79" s="21">
        <v>0.05</v>
      </c>
      <c r="H79" s="32"/>
      <c r="I79" s="32"/>
      <c r="J79" s="32"/>
      <c r="K79" s="32"/>
    </row>
    <row r="80" spans="1:11" x14ac:dyDescent="0.25">
      <c r="A80" s="44">
        <v>34</v>
      </c>
      <c r="B80" s="21" t="s">
        <v>65</v>
      </c>
      <c r="C80" s="21"/>
      <c r="D80" s="21"/>
      <c r="E80" s="21">
        <v>0.37</v>
      </c>
      <c r="F80" s="21"/>
      <c r="G80" s="21"/>
      <c r="H80" s="32"/>
      <c r="I80" s="32"/>
      <c r="J80" s="32"/>
      <c r="K80" s="32"/>
    </row>
    <row r="81" spans="1:11" x14ac:dyDescent="0.25">
      <c r="A81" s="44">
        <v>35</v>
      </c>
      <c r="B81" s="21" t="s">
        <v>140</v>
      </c>
      <c r="C81" s="21"/>
      <c r="D81" s="21"/>
      <c r="E81" s="21"/>
      <c r="F81" s="21">
        <v>64.363709999999998</v>
      </c>
      <c r="G81" s="21"/>
      <c r="H81" s="32"/>
      <c r="I81" s="32"/>
      <c r="J81" s="32"/>
      <c r="K81" s="32"/>
    </row>
    <row r="82" spans="1:11" x14ac:dyDescent="0.25">
      <c r="A82" s="44"/>
      <c r="B82" s="24" t="s">
        <v>90</v>
      </c>
      <c r="C82" s="21"/>
      <c r="D82" s="21"/>
      <c r="E82" s="21"/>
      <c r="F82" s="21"/>
      <c r="G82" s="42">
        <v>14.24</v>
      </c>
      <c r="H82" s="32"/>
      <c r="I82" s="32"/>
      <c r="J82" s="32"/>
      <c r="K82" s="32"/>
    </row>
    <row r="83" spans="1:11" x14ac:dyDescent="0.25">
      <c r="A83" s="154" t="s">
        <v>72</v>
      </c>
      <c r="B83" s="154"/>
      <c r="C83" s="34">
        <f>SUM(C47:C81)</f>
        <v>996.34506999999996</v>
      </c>
      <c r="D83" s="34">
        <f>SUM(D47:D81)</f>
        <v>579.97991999999999</v>
      </c>
      <c r="E83" s="34">
        <f>SUM(E47:E81)</f>
        <v>492.93999999999994</v>
      </c>
      <c r="F83" s="34">
        <f>SUM(F47:F82)</f>
        <v>2732.9863777999999</v>
      </c>
      <c r="G83" s="34">
        <f>SUM(G47:G82)</f>
        <v>501.78000000000003</v>
      </c>
      <c r="H83" s="32"/>
      <c r="I83" s="32"/>
      <c r="J83" s="32"/>
      <c r="K83" s="32"/>
    </row>
    <row r="84" spans="1:11" x14ac:dyDescent="0.25">
      <c r="H84" s="32"/>
      <c r="I84" s="32"/>
      <c r="J84" s="32"/>
      <c r="K84" s="32"/>
    </row>
    <row r="85" spans="1:11" x14ac:dyDescent="0.25">
      <c r="A85" s="153" t="s">
        <v>86</v>
      </c>
      <c r="B85" s="153"/>
      <c r="C85" s="153"/>
      <c r="D85" s="153"/>
      <c r="E85" s="153"/>
      <c r="F85" s="153"/>
      <c r="G85" s="153"/>
      <c r="H85" s="32"/>
      <c r="I85" s="32"/>
      <c r="J85" s="32"/>
      <c r="K85" s="32"/>
    </row>
    <row r="86" spans="1:11" x14ac:dyDescent="0.25">
      <c r="A86" s="34" t="s">
        <v>37</v>
      </c>
      <c r="B86" s="34" t="s">
        <v>0</v>
      </c>
      <c r="C86" s="34" t="s">
        <v>45</v>
      </c>
      <c r="D86" s="34" t="s">
        <v>44</v>
      </c>
      <c r="E86" s="34" t="s">
        <v>38</v>
      </c>
      <c r="F86" s="34" t="s">
        <v>39</v>
      </c>
      <c r="G86" s="34" t="s">
        <v>43</v>
      </c>
      <c r="H86" s="32"/>
      <c r="I86" s="32"/>
      <c r="J86" s="32"/>
      <c r="K86" s="32"/>
    </row>
    <row r="87" spans="1:11" x14ac:dyDescent="0.25">
      <c r="A87" s="44">
        <v>1</v>
      </c>
      <c r="B87" s="21" t="s">
        <v>73</v>
      </c>
      <c r="C87" s="7">
        <v>99.28</v>
      </c>
      <c r="D87" s="7">
        <v>28.910000000000004</v>
      </c>
      <c r="E87" s="7">
        <v>173.21</v>
      </c>
      <c r="F87" s="7">
        <v>98.75</v>
      </c>
      <c r="G87" s="7">
        <v>193.94</v>
      </c>
      <c r="H87" s="32"/>
      <c r="I87" s="32"/>
      <c r="J87" s="32"/>
      <c r="K87" s="32"/>
    </row>
    <row r="88" spans="1:11" x14ac:dyDescent="0.25">
      <c r="A88" s="44">
        <v>2</v>
      </c>
      <c r="B88" s="21" t="s">
        <v>74</v>
      </c>
      <c r="C88" s="7">
        <v>55.531619999999997</v>
      </c>
      <c r="D88" s="21">
        <v>57.88</v>
      </c>
      <c r="E88" s="21">
        <v>83.83</v>
      </c>
      <c r="F88" s="21">
        <v>84.84</v>
      </c>
      <c r="G88" s="21">
        <v>125.25</v>
      </c>
      <c r="H88" s="32"/>
      <c r="I88" s="32"/>
      <c r="J88" s="32"/>
      <c r="K88" s="32"/>
    </row>
    <row r="89" spans="1:11" x14ac:dyDescent="0.25">
      <c r="A89" s="44">
        <v>3</v>
      </c>
      <c r="B89" s="21" t="s">
        <v>75</v>
      </c>
      <c r="C89" s="7">
        <v>8.8599999999999998E-3</v>
      </c>
      <c r="D89" s="21">
        <v>0.25</v>
      </c>
      <c r="E89" s="21">
        <v>0.32</v>
      </c>
      <c r="F89" s="21">
        <v>0.27</v>
      </c>
      <c r="G89" s="21">
        <v>0.1</v>
      </c>
      <c r="H89" s="32"/>
      <c r="I89" s="32"/>
      <c r="J89" s="32"/>
      <c r="K89" s="32"/>
    </row>
    <row r="90" spans="1:11" x14ac:dyDescent="0.25">
      <c r="A90" s="44">
        <v>4</v>
      </c>
      <c r="B90" s="21" t="s">
        <v>76</v>
      </c>
      <c r="C90" s="7">
        <v>1.2654000000000001</v>
      </c>
      <c r="D90" s="21">
        <v>1.07</v>
      </c>
      <c r="E90" s="21">
        <v>0.93</v>
      </c>
      <c r="F90" s="21">
        <v>1.3521000000000001</v>
      </c>
      <c r="G90" s="21">
        <v>0.75</v>
      </c>
      <c r="H90" s="32"/>
      <c r="I90" s="32"/>
      <c r="J90" s="32"/>
      <c r="K90" s="32"/>
    </row>
    <row r="91" spans="1:11" x14ac:dyDescent="0.25">
      <c r="A91" s="44">
        <v>5</v>
      </c>
      <c r="B91" s="21" t="s">
        <v>77</v>
      </c>
      <c r="C91" s="7">
        <v>27.12725</v>
      </c>
      <c r="D91" s="21">
        <v>21.16</v>
      </c>
      <c r="E91" s="21">
        <v>29.03</v>
      </c>
      <c r="F91" s="21">
        <v>42.75</v>
      </c>
      <c r="G91" s="21">
        <v>17.959999999999997</v>
      </c>
      <c r="H91" s="32"/>
      <c r="I91" s="32"/>
      <c r="J91" s="32"/>
      <c r="K91" s="32"/>
    </row>
    <row r="92" spans="1:11" x14ac:dyDescent="0.25">
      <c r="A92" s="44">
        <v>6</v>
      </c>
      <c r="B92" s="21" t="s">
        <v>78</v>
      </c>
      <c r="C92" s="7">
        <v>0.214</v>
      </c>
      <c r="D92" s="21">
        <v>0.15</v>
      </c>
      <c r="E92" s="21">
        <v>0.74</v>
      </c>
      <c r="F92" s="21">
        <v>0.75670999999999999</v>
      </c>
      <c r="G92" s="21">
        <v>0.47</v>
      </c>
      <c r="H92" s="32"/>
      <c r="I92" s="32"/>
      <c r="J92" s="32"/>
      <c r="K92" s="32"/>
    </row>
    <row r="93" spans="1:11" x14ac:dyDescent="0.25">
      <c r="A93" s="44">
        <v>7</v>
      </c>
      <c r="B93" s="21" t="s">
        <v>79</v>
      </c>
      <c r="C93" s="7">
        <v>0.02</v>
      </c>
      <c r="D93" s="21">
        <v>0.05</v>
      </c>
      <c r="E93" s="42">
        <v>0.01</v>
      </c>
      <c r="F93" s="21">
        <v>4.2840000000000003E-2</v>
      </c>
      <c r="G93" s="21">
        <v>1.72</v>
      </c>
      <c r="H93" s="32"/>
      <c r="I93" s="32"/>
      <c r="J93" s="32"/>
      <c r="K93" s="32"/>
    </row>
    <row r="94" spans="1:11" x14ac:dyDescent="0.25">
      <c r="A94" s="44">
        <v>8</v>
      </c>
      <c r="B94" s="21" t="s">
        <v>80</v>
      </c>
      <c r="C94" s="7">
        <v>0.1</v>
      </c>
      <c r="D94" s="21">
        <v>0</v>
      </c>
      <c r="E94" s="42">
        <v>5</v>
      </c>
      <c r="F94" s="21">
        <v>0</v>
      </c>
      <c r="G94" s="21">
        <v>0</v>
      </c>
      <c r="H94" s="32"/>
      <c r="I94" s="32"/>
      <c r="J94" s="32"/>
      <c r="K94" s="32"/>
    </row>
    <row r="95" spans="1:11" x14ac:dyDescent="0.25">
      <c r="A95" s="44">
        <v>9</v>
      </c>
      <c r="B95" s="21" t="s">
        <v>94</v>
      </c>
      <c r="C95" s="7">
        <v>4.0199999999999996</v>
      </c>
      <c r="D95" s="21">
        <v>3.41</v>
      </c>
      <c r="E95" s="42">
        <v>3.39</v>
      </c>
      <c r="F95" s="21"/>
      <c r="G95" s="21"/>
      <c r="H95" s="32"/>
      <c r="I95" s="32"/>
      <c r="J95" s="32"/>
      <c r="K95" s="32"/>
    </row>
    <row r="96" spans="1:11" x14ac:dyDescent="0.25">
      <c r="A96" s="44">
        <v>10</v>
      </c>
      <c r="B96" s="21" t="s">
        <v>95</v>
      </c>
      <c r="C96" s="7"/>
      <c r="D96" s="21">
        <v>0.67</v>
      </c>
      <c r="E96" s="42">
        <v>0.19</v>
      </c>
      <c r="F96" s="21">
        <v>0.91</v>
      </c>
      <c r="G96" s="21">
        <v>2.74</v>
      </c>
      <c r="H96" s="32"/>
      <c r="I96" s="32"/>
      <c r="J96" s="32"/>
      <c r="K96" s="32"/>
    </row>
    <row r="97" spans="1:11" x14ac:dyDescent="0.25">
      <c r="A97" s="44">
        <v>11</v>
      </c>
      <c r="B97" s="42" t="s">
        <v>139</v>
      </c>
      <c r="C97" s="21"/>
      <c r="D97" s="21"/>
      <c r="E97" s="21"/>
      <c r="F97" s="21">
        <v>2.0499999999999998</v>
      </c>
      <c r="G97" s="21">
        <v>2.4300000000000002</v>
      </c>
      <c r="H97" s="32"/>
      <c r="I97" s="32"/>
      <c r="J97" s="32"/>
      <c r="K97" s="32"/>
    </row>
    <row r="98" spans="1:11" x14ac:dyDescent="0.25">
      <c r="A98" s="146" t="s">
        <v>97</v>
      </c>
      <c r="B98" s="146"/>
      <c r="C98" s="41">
        <f>SUM(C87:C97)</f>
        <v>187.56713000000002</v>
      </c>
      <c r="D98" s="41">
        <f>SUM(D87:D97)</f>
        <v>113.55</v>
      </c>
      <c r="E98" s="41">
        <f>SUM(E87:E97)</f>
        <v>296.65000000000003</v>
      </c>
      <c r="F98" s="41">
        <f>SUM(F87:F97)</f>
        <v>231.72165000000004</v>
      </c>
      <c r="G98" s="41">
        <f>SUM(G87:G97)</f>
        <v>345.36000000000007</v>
      </c>
      <c r="H98" s="32"/>
      <c r="I98" s="32"/>
      <c r="J98" s="32"/>
      <c r="K98" s="32"/>
    </row>
    <row r="99" spans="1:11" x14ac:dyDescent="0.25">
      <c r="H99" s="32"/>
      <c r="I99" s="32"/>
      <c r="J99" s="32"/>
      <c r="K99" s="32"/>
    </row>
    <row r="101" spans="1:11" x14ac:dyDescent="0.25">
      <c r="A101" s="4"/>
      <c r="B101" s="26" t="s">
        <v>34</v>
      </c>
      <c r="C101" s="4"/>
      <c r="D101" s="4"/>
      <c r="E101" s="4"/>
      <c r="F101" s="6"/>
      <c r="G101" s="4"/>
      <c r="H101" s="32"/>
      <c r="I101" s="32"/>
      <c r="J101" s="32"/>
      <c r="K101" s="32"/>
    </row>
    <row r="102" spans="1:11" x14ac:dyDescent="0.25">
      <c r="A102" s="1" t="s">
        <v>37</v>
      </c>
      <c r="B102" s="10" t="s">
        <v>0</v>
      </c>
      <c r="C102" s="1" t="s">
        <v>45</v>
      </c>
      <c r="D102" s="1" t="s">
        <v>44</v>
      </c>
      <c r="E102" s="1" t="s">
        <v>38</v>
      </c>
      <c r="F102" s="11" t="s">
        <v>39</v>
      </c>
      <c r="G102" s="1" t="s">
        <v>43</v>
      </c>
    </row>
    <row r="103" spans="1:11" x14ac:dyDescent="0.25">
      <c r="A103" s="5">
        <v>1</v>
      </c>
      <c r="B103" s="5" t="s">
        <v>171</v>
      </c>
      <c r="C103" s="5">
        <v>1.82</v>
      </c>
      <c r="D103" s="5">
        <v>0.42</v>
      </c>
      <c r="E103" s="5">
        <v>0.79</v>
      </c>
      <c r="F103" s="8">
        <v>0.17</v>
      </c>
      <c r="G103" s="5">
        <v>0.02</v>
      </c>
      <c r="H103" s="32"/>
      <c r="I103" s="32"/>
      <c r="J103" s="32"/>
      <c r="K103" s="32"/>
    </row>
    <row r="104" spans="1:11" x14ac:dyDescent="0.25">
      <c r="A104" s="5">
        <v>2</v>
      </c>
      <c r="B104" s="5" t="s">
        <v>173</v>
      </c>
      <c r="C104" s="5"/>
      <c r="D104" s="5">
        <v>1.29</v>
      </c>
      <c r="E104" s="5">
        <v>0.45</v>
      </c>
      <c r="F104" s="8">
        <v>2.2400000000000002</v>
      </c>
      <c r="G104" s="5">
        <v>3.06</v>
      </c>
    </row>
    <row r="105" spans="1:11" ht="30" x14ac:dyDescent="0.25">
      <c r="A105" s="5">
        <v>3</v>
      </c>
      <c r="B105" s="9" t="s">
        <v>189</v>
      </c>
      <c r="C105" s="5">
        <v>7.39</v>
      </c>
      <c r="D105" s="5">
        <f>2.06+59.91+5.74+67.72</f>
        <v>135.43</v>
      </c>
      <c r="E105" s="5">
        <v>57.12</v>
      </c>
      <c r="F105" s="8">
        <f>2.12+16.6</f>
        <v>18.720000000000002</v>
      </c>
      <c r="G105" s="8">
        <f>1.98+8.32</f>
        <v>10.3</v>
      </c>
    </row>
    <row r="106" spans="1:11" x14ac:dyDescent="0.25">
      <c r="A106" s="5">
        <v>4</v>
      </c>
      <c r="B106" s="5" t="s">
        <v>186</v>
      </c>
      <c r="C106" s="8">
        <v>4.4000000000000004</v>
      </c>
      <c r="D106" s="5"/>
      <c r="E106" s="5">
        <v>2.99</v>
      </c>
      <c r="F106" s="8">
        <v>5.69</v>
      </c>
      <c r="G106" s="5">
        <v>5.01</v>
      </c>
    </row>
    <row r="107" spans="1:11" x14ac:dyDescent="0.25">
      <c r="A107" s="5">
        <v>5</v>
      </c>
      <c r="B107" s="21" t="s">
        <v>180</v>
      </c>
      <c r="C107" s="21">
        <v>20.74</v>
      </c>
      <c r="D107" s="21">
        <v>20.74</v>
      </c>
      <c r="E107" s="21">
        <v>20.74</v>
      </c>
      <c r="F107" s="21">
        <v>20.74</v>
      </c>
      <c r="G107" s="21">
        <v>20.74</v>
      </c>
    </row>
    <row r="108" spans="1:11" x14ac:dyDescent="0.25">
      <c r="A108" s="5">
        <v>6</v>
      </c>
      <c r="B108" s="21" t="s">
        <v>179</v>
      </c>
      <c r="C108" s="21">
        <v>0.02</v>
      </c>
      <c r="D108" s="21"/>
      <c r="E108" s="21"/>
      <c r="F108" s="21"/>
      <c r="G108" s="21"/>
    </row>
    <row r="109" spans="1:11" x14ac:dyDescent="0.25">
      <c r="A109" s="5">
        <v>7</v>
      </c>
      <c r="B109" s="5" t="s">
        <v>184</v>
      </c>
      <c r="C109" s="21"/>
      <c r="D109" s="21"/>
      <c r="E109" s="21"/>
      <c r="F109" s="21"/>
      <c r="G109" s="21">
        <v>0.09</v>
      </c>
    </row>
    <row r="110" spans="1:11" x14ac:dyDescent="0.25">
      <c r="A110" s="151" t="s">
        <v>143</v>
      </c>
      <c r="B110" s="152"/>
      <c r="C110" s="21">
        <f>SUM(C103:C108)</f>
        <v>34.369999999999997</v>
      </c>
      <c r="D110" s="21">
        <f>SUM(D103:D108)</f>
        <v>157.88000000000002</v>
      </c>
      <c r="E110" s="21">
        <f>SUM(E103:E108)</f>
        <v>82.09</v>
      </c>
      <c r="F110" s="21">
        <f>SUM(F103:F108)</f>
        <v>47.56</v>
      </c>
      <c r="G110" s="21">
        <f>SUM(G103:G109)</f>
        <v>39.22</v>
      </c>
    </row>
  </sheetData>
  <mergeCells count="9">
    <mergeCell ref="F1:G1"/>
    <mergeCell ref="A110:B110"/>
    <mergeCell ref="A98:B98"/>
    <mergeCell ref="A2:G2"/>
    <mergeCell ref="A45:G45"/>
    <mergeCell ref="A83:B83"/>
    <mergeCell ref="A85:G85"/>
    <mergeCell ref="A3:G3"/>
    <mergeCell ref="A4:G4"/>
  </mergeCells>
  <pageMargins left="0.70866141732283472" right="0.39370078740157483" top="0.54" bottom="0.62" header="0.31496062992125984" footer="0.31496062992125984"/>
  <pageSetup paperSize="9" scale="95" orientation="portrait" horizontalDpi="0" verticalDpi="0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zoomScaleNormal="100" workbookViewId="0">
      <selection activeCell="D10" sqref="D10"/>
    </sheetView>
  </sheetViews>
  <sheetFormatPr defaultRowHeight="15" x14ac:dyDescent="0.25"/>
  <cols>
    <col min="1" max="1" width="6" style="32" customWidth="1"/>
    <col min="2" max="2" width="33.28515625" style="32" customWidth="1"/>
    <col min="3" max="5" width="10.140625" style="32" customWidth="1"/>
    <col min="6" max="6" width="11" style="32" customWidth="1"/>
    <col min="7" max="7" width="10.140625" style="32" customWidth="1"/>
    <col min="8" max="11" width="9.140625" style="4"/>
    <col min="12" max="16384" width="9.140625" style="32"/>
  </cols>
  <sheetData>
    <row r="1" spans="1:11" x14ac:dyDescent="0.25">
      <c r="F1" s="150" t="s">
        <v>213</v>
      </c>
      <c r="G1" s="150"/>
    </row>
    <row r="2" spans="1:11" x14ac:dyDescent="0.25">
      <c r="A2" s="147" t="s">
        <v>138</v>
      </c>
      <c r="B2" s="147"/>
      <c r="C2" s="147"/>
      <c r="D2" s="147"/>
      <c r="E2" s="147"/>
      <c r="F2" s="147"/>
      <c r="G2" s="147"/>
      <c r="H2" s="32"/>
      <c r="I2" s="32"/>
      <c r="J2" s="32"/>
      <c r="K2" s="32"/>
    </row>
    <row r="3" spans="1:11" x14ac:dyDescent="0.25">
      <c r="A3" s="138" t="s">
        <v>219</v>
      </c>
      <c r="B3" s="138"/>
      <c r="C3" s="138"/>
      <c r="D3" s="138"/>
      <c r="E3" s="138"/>
      <c r="F3" s="138"/>
      <c r="G3" s="138"/>
      <c r="H3" s="32"/>
      <c r="I3" s="32"/>
      <c r="J3" s="32"/>
      <c r="K3" s="32"/>
    </row>
    <row r="4" spans="1:11" x14ac:dyDescent="0.25">
      <c r="A4" s="138" t="s">
        <v>222</v>
      </c>
      <c r="B4" s="138"/>
      <c r="C4" s="138"/>
      <c r="D4" s="138"/>
      <c r="E4" s="138"/>
      <c r="F4" s="138"/>
      <c r="G4" s="138"/>
      <c r="H4" s="32"/>
      <c r="I4" s="32"/>
      <c r="J4" s="32"/>
      <c r="K4" s="32"/>
    </row>
    <row r="5" spans="1:11" x14ac:dyDescent="0.25">
      <c r="G5" s="33" t="s">
        <v>96</v>
      </c>
      <c r="H5" s="32"/>
      <c r="I5" s="32"/>
      <c r="J5" s="32"/>
      <c r="K5" s="32"/>
    </row>
    <row r="6" spans="1:11" x14ac:dyDescent="0.25">
      <c r="A6" s="34" t="s">
        <v>37</v>
      </c>
      <c r="B6" s="34" t="s">
        <v>0</v>
      </c>
      <c r="C6" s="34" t="s">
        <v>45</v>
      </c>
      <c r="D6" s="34" t="s">
        <v>44</v>
      </c>
      <c r="E6" s="34" t="s">
        <v>38</v>
      </c>
      <c r="F6" s="34" t="s">
        <v>39</v>
      </c>
      <c r="G6" s="34" t="s">
        <v>43</v>
      </c>
      <c r="H6" s="32"/>
      <c r="I6" s="32"/>
      <c r="J6" s="32"/>
      <c r="K6" s="32"/>
    </row>
    <row r="7" spans="1:11" x14ac:dyDescent="0.25">
      <c r="A7" s="21">
        <v>1</v>
      </c>
      <c r="B7" s="21" t="s">
        <v>6</v>
      </c>
      <c r="C7" s="21"/>
      <c r="D7" s="21"/>
      <c r="E7" s="21"/>
      <c r="F7" s="17"/>
      <c r="G7" s="21"/>
      <c r="H7" s="32"/>
      <c r="I7" s="32"/>
      <c r="J7" s="32"/>
      <c r="K7" s="32"/>
    </row>
    <row r="8" spans="1:11" x14ac:dyDescent="0.25">
      <c r="A8" s="21">
        <v>2</v>
      </c>
      <c r="B8" s="21" t="s">
        <v>7</v>
      </c>
      <c r="C8" s="17"/>
      <c r="D8" s="17"/>
      <c r="E8" s="17"/>
      <c r="F8" s="17">
        <v>21.57</v>
      </c>
      <c r="G8" s="17">
        <v>128.22</v>
      </c>
      <c r="H8" s="32"/>
      <c r="I8" s="32"/>
      <c r="J8" s="32"/>
      <c r="K8" s="32"/>
    </row>
    <row r="9" spans="1:11" x14ac:dyDescent="0.25">
      <c r="A9" s="21">
        <v>3</v>
      </c>
      <c r="B9" s="21" t="s">
        <v>8</v>
      </c>
      <c r="C9" s="17"/>
      <c r="D9" s="17"/>
      <c r="E9" s="17"/>
      <c r="F9" s="17">
        <v>25.71</v>
      </c>
      <c r="G9" s="17">
        <v>74.87</v>
      </c>
      <c r="H9" s="32"/>
      <c r="I9" s="32"/>
      <c r="J9" s="32"/>
      <c r="K9" s="32"/>
    </row>
    <row r="10" spans="1:11" x14ac:dyDescent="0.25">
      <c r="A10" s="21">
        <v>4</v>
      </c>
      <c r="B10" s="21" t="s">
        <v>9</v>
      </c>
      <c r="C10" s="31"/>
      <c r="D10" s="31"/>
      <c r="E10" s="31"/>
      <c r="F10" s="31">
        <v>9.02</v>
      </c>
      <c r="G10" s="31">
        <v>52.96</v>
      </c>
      <c r="H10" s="32"/>
      <c r="I10" s="32"/>
      <c r="J10" s="32"/>
      <c r="K10" s="32"/>
    </row>
    <row r="11" spans="1:11" ht="45" x14ac:dyDescent="0.25">
      <c r="A11" s="21">
        <v>4.0999999999999996</v>
      </c>
      <c r="B11" s="35" t="s">
        <v>10</v>
      </c>
      <c r="C11" s="36"/>
      <c r="D11" s="36"/>
      <c r="E11" s="36"/>
      <c r="F11" s="36"/>
      <c r="G11" s="17"/>
      <c r="H11" s="32"/>
      <c r="I11" s="32"/>
      <c r="J11" s="32"/>
      <c r="K11" s="32"/>
    </row>
    <row r="12" spans="1:11" x14ac:dyDescent="0.25">
      <c r="A12" s="21">
        <v>5</v>
      </c>
      <c r="B12" s="21" t="s">
        <v>11</v>
      </c>
      <c r="C12" s="17"/>
      <c r="D12" s="17"/>
      <c r="E12" s="17"/>
      <c r="F12" s="17"/>
      <c r="G12" s="17"/>
      <c r="H12" s="32"/>
      <c r="I12" s="32"/>
      <c r="J12" s="32"/>
      <c r="K12" s="32"/>
    </row>
    <row r="13" spans="1:11" x14ac:dyDescent="0.25">
      <c r="A13" s="21">
        <v>6</v>
      </c>
      <c r="B13" s="34" t="s">
        <v>21</v>
      </c>
      <c r="C13" s="17"/>
      <c r="D13" s="17"/>
      <c r="E13" s="17"/>
      <c r="F13" s="17"/>
      <c r="G13" s="17"/>
      <c r="H13" s="32"/>
      <c r="I13" s="32"/>
      <c r="J13" s="32"/>
      <c r="K13" s="32"/>
    </row>
    <row r="14" spans="1:11" x14ac:dyDescent="0.25">
      <c r="A14" s="21">
        <v>6.1</v>
      </c>
      <c r="B14" s="21" t="s">
        <v>12</v>
      </c>
      <c r="C14" s="17"/>
      <c r="D14" s="17"/>
      <c r="E14" s="17"/>
      <c r="F14" s="17">
        <v>0.15</v>
      </c>
      <c r="G14" s="17">
        <v>0.65</v>
      </c>
      <c r="H14" s="32"/>
      <c r="I14" s="32"/>
      <c r="J14" s="32"/>
      <c r="K14" s="32"/>
    </row>
    <row r="15" spans="1:11" x14ac:dyDescent="0.25">
      <c r="A15" s="21">
        <v>6.2</v>
      </c>
      <c r="B15" s="21" t="s">
        <v>13</v>
      </c>
      <c r="C15" s="17"/>
      <c r="D15" s="17"/>
      <c r="E15" s="17"/>
      <c r="F15" s="17"/>
      <c r="G15" s="17">
        <v>0.73</v>
      </c>
      <c r="H15" s="32"/>
      <c r="I15" s="32"/>
      <c r="J15" s="32"/>
      <c r="K15" s="32"/>
    </row>
    <row r="16" spans="1:11" x14ac:dyDescent="0.25">
      <c r="A16" s="21">
        <v>6.3</v>
      </c>
      <c r="B16" s="21" t="s">
        <v>14</v>
      </c>
      <c r="C16" s="17"/>
      <c r="D16" s="17"/>
      <c r="E16" s="17"/>
      <c r="F16" s="17">
        <v>7.23</v>
      </c>
      <c r="G16" s="17">
        <v>21.638169999999999</v>
      </c>
      <c r="H16" s="32"/>
      <c r="I16" s="32"/>
      <c r="J16" s="32"/>
      <c r="K16" s="32"/>
    </row>
    <row r="17" spans="1:11" x14ac:dyDescent="0.25">
      <c r="A17" s="21">
        <v>6.4</v>
      </c>
      <c r="B17" s="21" t="s">
        <v>15</v>
      </c>
      <c r="C17" s="17"/>
      <c r="D17" s="17"/>
      <c r="E17" s="17"/>
      <c r="F17" s="17">
        <v>0.72</v>
      </c>
      <c r="G17" s="17">
        <v>8.6100000000000012</v>
      </c>
      <c r="H17" s="32"/>
      <c r="I17" s="32"/>
      <c r="J17" s="32"/>
      <c r="K17" s="32"/>
    </row>
    <row r="18" spans="1:11" x14ac:dyDescent="0.25">
      <c r="A18" s="21">
        <v>6.5</v>
      </c>
      <c r="B18" s="21" t="s">
        <v>16</v>
      </c>
      <c r="C18" s="17"/>
      <c r="D18" s="17"/>
      <c r="E18" s="17"/>
      <c r="F18" s="17">
        <v>0.33</v>
      </c>
      <c r="G18" s="17">
        <v>6.72</v>
      </c>
      <c r="H18" s="32"/>
      <c r="I18" s="32"/>
      <c r="J18" s="32"/>
      <c r="K18" s="32"/>
    </row>
    <row r="19" spans="1:11" x14ac:dyDescent="0.25">
      <c r="A19" s="21">
        <v>6.6</v>
      </c>
      <c r="B19" s="21" t="s">
        <v>17</v>
      </c>
      <c r="C19" s="17"/>
      <c r="D19" s="17"/>
      <c r="E19" s="17"/>
      <c r="F19" s="17"/>
      <c r="G19" s="17"/>
      <c r="H19" s="32"/>
      <c r="I19" s="32"/>
      <c r="J19" s="32"/>
      <c r="K19" s="32"/>
    </row>
    <row r="20" spans="1:11" x14ac:dyDescent="0.25">
      <c r="A20" s="21">
        <v>6.7</v>
      </c>
      <c r="B20" s="21" t="s">
        <v>18</v>
      </c>
      <c r="C20" s="17"/>
      <c r="D20" s="17"/>
      <c r="E20" s="17"/>
      <c r="F20" s="17"/>
      <c r="G20" s="17"/>
      <c r="H20" s="32"/>
      <c r="I20" s="32"/>
      <c r="J20" s="32"/>
      <c r="K20" s="32"/>
    </row>
    <row r="21" spans="1:11" x14ac:dyDescent="0.25">
      <c r="A21" s="21">
        <v>6.8</v>
      </c>
      <c r="B21" s="21" t="s">
        <v>41</v>
      </c>
      <c r="C21" s="17"/>
      <c r="D21" s="17"/>
      <c r="E21" s="17"/>
      <c r="F21" s="17"/>
      <c r="G21" s="17"/>
      <c r="H21" s="32"/>
      <c r="I21" s="32"/>
      <c r="J21" s="32"/>
      <c r="K21" s="32"/>
    </row>
    <row r="22" spans="1:11" x14ac:dyDescent="0.25">
      <c r="A22" s="21">
        <v>6.9</v>
      </c>
      <c r="B22" s="21" t="s">
        <v>19</v>
      </c>
      <c r="C22" s="17"/>
      <c r="D22" s="17"/>
      <c r="E22" s="17"/>
      <c r="F22" s="17"/>
      <c r="G22" s="17"/>
      <c r="H22" s="32"/>
      <c r="I22" s="32"/>
      <c r="J22" s="32"/>
      <c r="K22" s="32"/>
    </row>
    <row r="23" spans="1:11" x14ac:dyDescent="0.25">
      <c r="A23" s="34"/>
      <c r="B23" s="34" t="s">
        <v>20</v>
      </c>
      <c r="C23" s="34"/>
      <c r="D23" s="34"/>
      <c r="E23" s="34"/>
      <c r="F23" s="34">
        <f>SUM(F14:F22)</f>
        <v>8.4300000000000015</v>
      </c>
      <c r="G23" s="34">
        <f>SUM(G14:G22)</f>
        <v>38.348169999999996</v>
      </c>
      <c r="H23" s="32"/>
      <c r="I23" s="32"/>
      <c r="J23" s="32"/>
      <c r="K23" s="32"/>
    </row>
    <row r="24" spans="1:11" x14ac:dyDescent="0.25">
      <c r="A24" s="21">
        <v>7</v>
      </c>
      <c r="B24" s="34" t="s">
        <v>22</v>
      </c>
      <c r="C24" s="21"/>
      <c r="D24" s="21"/>
      <c r="E24" s="21"/>
      <c r="F24" s="21"/>
      <c r="G24" s="21"/>
      <c r="H24" s="32"/>
      <c r="I24" s="32"/>
      <c r="J24" s="32"/>
      <c r="K24" s="32"/>
    </row>
    <row r="25" spans="1:11" x14ac:dyDescent="0.25">
      <c r="A25" s="21">
        <v>7.1</v>
      </c>
      <c r="B25" s="21" t="s">
        <v>23</v>
      </c>
      <c r="C25" s="21"/>
      <c r="D25" s="21"/>
      <c r="E25" s="21"/>
      <c r="F25" s="21">
        <v>192.92000000000002</v>
      </c>
      <c r="G25" s="21">
        <v>1272.8000000000002</v>
      </c>
      <c r="H25" s="32"/>
      <c r="I25" s="32"/>
      <c r="J25" s="32"/>
      <c r="K25" s="32"/>
    </row>
    <row r="26" spans="1:11" x14ac:dyDescent="0.25">
      <c r="A26" s="21">
        <v>7.2</v>
      </c>
      <c r="B26" s="21" t="s">
        <v>24</v>
      </c>
      <c r="C26" s="21"/>
      <c r="D26" s="21"/>
      <c r="E26" s="21"/>
      <c r="F26" s="21">
        <f>+F78</f>
        <v>70.920789999999997</v>
      </c>
      <c r="G26" s="21">
        <f>+G78</f>
        <v>122.86999999999999</v>
      </c>
      <c r="H26" s="32"/>
      <c r="I26" s="32"/>
      <c r="J26" s="32"/>
      <c r="K26" s="32"/>
    </row>
    <row r="27" spans="1:11" x14ac:dyDescent="0.25">
      <c r="A27" s="21">
        <v>7.3</v>
      </c>
      <c r="B27" s="21" t="s">
        <v>25</v>
      </c>
      <c r="C27" s="21"/>
      <c r="D27" s="21"/>
      <c r="E27" s="21"/>
      <c r="F27" s="21"/>
      <c r="G27" s="21"/>
      <c r="H27" s="32"/>
      <c r="I27" s="32"/>
      <c r="J27" s="32"/>
      <c r="K27" s="32"/>
    </row>
    <row r="28" spans="1:11" x14ac:dyDescent="0.25">
      <c r="A28" s="21">
        <v>7.4</v>
      </c>
      <c r="B28" s="21" t="s">
        <v>26</v>
      </c>
      <c r="C28" s="21"/>
      <c r="D28" s="21"/>
      <c r="E28" s="21"/>
      <c r="F28" s="21"/>
      <c r="G28" s="21"/>
      <c r="H28" s="32"/>
      <c r="I28" s="32"/>
      <c r="J28" s="32"/>
      <c r="K28" s="32"/>
    </row>
    <row r="29" spans="1:11" x14ac:dyDescent="0.25">
      <c r="A29" s="21">
        <v>7.5</v>
      </c>
      <c r="B29" s="21" t="s">
        <v>27</v>
      </c>
      <c r="C29" s="21"/>
      <c r="D29" s="21"/>
      <c r="E29" s="21"/>
      <c r="F29" s="21"/>
      <c r="G29" s="21"/>
      <c r="H29" s="32"/>
      <c r="I29" s="32"/>
      <c r="J29" s="32"/>
      <c r="K29" s="32"/>
    </row>
    <row r="30" spans="1:11" x14ac:dyDescent="0.25">
      <c r="A30" s="21">
        <v>7.6</v>
      </c>
      <c r="B30" s="21" t="s">
        <v>42</v>
      </c>
      <c r="C30" s="21"/>
      <c r="D30" s="21"/>
      <c r="E30" s="21"/>
      <c r="F30" s="21">
        <v>46.430000000000007</v>
      </c>
      <c r="G30" s="21">
        <v>40.49</v>
      </c>
      <c r="H30" s="32"/>
      <c r="I30" s="32"/>
      <c r="J30" s="32"/>
      <c r="K30" s="32"/>
    </row>
    <row r="31" spans="1:11" x14ac:dyDescent="0.25">
      <c r="A31" s="34"/>
      <c r="B31" s="34" t="s">
        <v>28</v>
      </c>
      <c r="C31" s="34"/>
      <c r="D31" s="34"/>
      <c r="E31" s="34"/>
      <c r="F31" s="34">
        <f>SUM(F25:F30)</f>
        <v>310.27079000000003</v>
      </c>
      <c r="G31" s="34">
        <f>SUM(G25:G30)</f>
        <v>1436.16</v>
      </c>
      <c r="H31" s="32"/>
      <c r="I31" s="32"/>
      <c r="J31" s="32"/>
      <c r="K31" s="32"/>
    </row>
    <row r="32" spans="1:11" x14ac:dyDescent="0.25">
      <c r="A32" s="21">
        <v>8</v>
      </c>
      <c r="B32" s="21" t="s">
        <v>87</v>
      </c>
      <c r="C32" s="37"/>
      <c r="D32" s="37"/>
      <c r="E32" s="37"/>
      <c r="F32" s="37"/>
      <c r="G32" s="37"/>
      <c r="H32" s="32"/>
      <c r="I32" s="32"/>
      <c r="J32" s="32"/>
      <c r="K32" s="32"/>
    </row>
    <row r="33" spans="1:11" x14ac:dyDescent="0.25">
      <c r="A33" s="21">
        <v>9</v>
      </c>
      <c r="B33" s="21" t="s">
        <v>29</v>
      </c>
      <c r="C33" s="21"/>
      <c r="D33" s="21"/>
      <c r="E33" s="21"/>
      <c r="F33" s="21"/>
      <c r="G33" s="21"/>
      <c r="H33" s="32"/>
      <c r="I33" s="32"/>
      <c r="J33" s="32"/>
      <c r="K33" s="32"/>
    </row>
    <row r="34" spans="1:11" x14ac:dyDescent="0.25">
      <c r="A34" s="21">
        <v>10</v>
      </c>
      <c r="B34" s="21" t="s">
        <v>30</v>
      </c>
      <c r="C34" s="21"/>
      <c r="D34" s="21"/>
      <c r="E34" s="21"/>
      <c r="F34" s="21"/>
      <c r="G34" s="21"/>
      <c r="H34" s="32"/>
      <c r="I34" s="32"/>
      <c r="J34" s="32"/>
      <c r="K34" s="32"/>
    </row>
    <row r="35" spans="1:11" ht="21.75" customHeight="1" x14ac:dyDescent="0.25">
      <c r="A35" s="21">
        <v>11</v>
      </c>
      <c r="B35" s="21" t="s">
        <v>31</v>
      </c>
      <c r="C35" s="21"/>
      <c r="D35" s="21"/>
      <c r="E35" s="21"/>
      <c r="F35" s="21">
        <v>195.63</v>
      </c>
      <c r="G35" s="21">
        <v>71.5</v>
      </c>
      <c r="H35" s="32"/>
      <c r="I35" s="32"/>
      <c r="J35" s="32"/>
      <c r="K35" s="32"/>
    </row>
    <row r="36" spans="1:11" ht="21.75" customHeight="1" x14ac:dyDescent="0.25">
      <c r="A36" s="21">
        <v>12</v>
      </c>
      <c r="B36" s="21" t="s">
        <v>32</v>
      </c>
      <c r="C36" s="21"/>
      <c r="D36" s="21"/>
      <c r="E36" s="21"/>
      <c r="F36" s="21">
        <f>+F65</f>
        <v>159.44859</v>
      </c>
      <c r="G36" s="21">
        <f>+G65</f>
        <v>117.87</v>
      </c>
      <c r="H36" s="32"/>
      <c r="I36" s="32"/>
      <c r="J36" s="32"/>
      <c r="K36" s="32"/>
    </row>
    <row r="37" spans="1:11" ht="21.75" customHeight="1" x14ac:dyDescent="0.25">
      <c r="A37" s="34"/>
      <c r="B37" s="34" t="s">
        <v>33</v>
      </c>
      <c r="C37" s="34"/>
      <c r="D37" s="34"/>
      <c r="E37" s="34"/>
      <c r="F37" s="34">
        <f>+F7+F8+F9+F10+F23+F31+F32+F33+F34+F35+F36</f>
        <v>730.07938000000001</v>
      </c>
      <c r="G37" s="34">
        <f>+G7+G8+G9+G10+G23+G31+G32+G33+G34+G35+G36</f>
        <v>1919.9281700000001</v>
      </c>
      <c r="H37" s="32"/>
      <c r="I37" s="32"/>
      <c r="J37" s="32"/>
      <c r="K37" s="32"/>
    </row>
    <row r="38" spans="1:11" ht="21.75" customHeight="1" x14ac:dyDescent="0.25">
      <c r="A38" s="21"/>
      <c r="B38" s="21" t="s">
        <v>34</v>
      </c>
      <c r="C38" s="38"/>
      <c r="D38" s="38"/>
      <c r="E38" s="38"/>
      <c r="F38" s="21">
        <v>2.42</v>
      </c>
      <c r="G38" s="21">
        <v>2.77</v>
      </c>
      <c r="H38" s="32"/>
      <c r="I38" s="32"/>
      <c r="J38" s="32"/>
      <c r="K38" s="32"/>
    </row>
    <row r="39" spans="1:11" ht="21.75" customHeight="1" x14ac:dyDescent="0.25">
      <c r="A39" s="21"/>
      <c r="B39" s="21" t="s">
        <v>35</v>
      </c>
      <c r="C39" s="38"/>
      <c r="D39" s="38"/>
      <c r="E39" s="38"/>
      <c r="F39" s="21">
        <f>+F37-F38</f>
        <v>727.65938000000006</v>
      </c>
      <c r="G39" s="21">
        <f>+G37-G38</f>
        <v>1917.1581700000002</v>
      </c>
      <c r="H39" s="32"/>
      <c r="I39" s="32"/>
      <c r="J39" s="32"/>
      <c r="K39" s="32"/>
    </row>
    <row r="40" spans="1:11" ht="48" customHeight="1" x14ac:dyDescent="0.25">
      <c r="A40" s="21"/>
      <c r="B40" s="39" t="s">
        <v>36</v>
      </c>
      <c r="C40" s="40"/>
      <c r="D40" s="40"/>
      <c r="E40" s="40"/>
      <c r="F40" s="40"/>
      <c r="G40" s="40"/>
      <c r="H40" s="32"/>
      <c r="I40" s="32"/>
      <c r="J40" s="32"/>
      <c r="K40" s="32"/>
    </row>
    <row r="41" spans="1:11" ht="21.75" customHeight="1" x14ac:dyDescent="0.25">
      <c r="A41" s="21"/>
      <c r="B41" s="21"/>
      <c r="C41" s="21"/>
      <c r="D41" s="21"/>
      <c r="E41" s="21"/>
      <c r="F41" s="21"/>
      <c r="G41" s="21"/>
      <c r="H41" s="32"/>
      <c r="I41" s="32"/>
      <c r="J41" s="32"/>
      <c r="K41" s="32"/>
    </row>
    <row r="42" spans="1:11" x14ac:dyDescent="0.25">
      <c r="A42" s="77" t="s">
        <v>158</v>
      </c>
      <c r="B42" s="4"/>
      <c r="C42" s="4"/>
      <c r="D42" s="4"/>
      <c r="E42" s="4"/>
      <c r="F42" s="6"/>
      <c r="G42" s="4"/>
    </row>
    <row r="43" spans="1:11" ht="45" x14ac:dyDescent="0.25">
      <c r="A43" s="73"/>
      <c r="B43" s="74" t="s">
        <v>160</v>
      </c>
      <c r="C43" s="75"/>
      <c r="D43" s="75"/>
      <c r="E43" s="75"/>
      <c r="F43" s="76"/>
      <c r="G43" s="52">
        <v>86.55</v>
      </c>
      <c r="H43" s="32"/>
      <c r="I43" s="32"/>
      <c r="J43" s="32"/>
      <c r="K43" s="32"/>
    </row>
    <row r="44" spans="1:11" x14ac:dyDescent="0.25">
      <c r="A44" s="85"/>
      <c r="B44" s="86"/>
      <c r="C44" s="26"/>
      <c r="D44" s="26"/>
      <c r="E44" s="26"/>
      <c r="F44" s="15"/>
      <c r="G44" s="26"/>
      <c r="H44" s="32"/>
      <c r="I44" s="32"/>
      <c r="J44" s="32"/>
      <c r="K44" s="32"/>
    </row>
    <row r="45" spans="1:11" x14ac:dyDescent="0.25">
      <c r="A45" s="153" t="s">
        <v>46</v>
      </c>
      <c r="B45" s="153"/>
      <c r="C45" s="153"/>
      <c r="D45" s="153"/>
      <c r="E45" s="153"/>
      <c r="F45" s="153"/>
      <c r="G45" s="153"/>
      <c r="H45" s="32"/>
      <c r="I45" s="32"/>
      <c r="J45" s="32"/>
      <c r="K45" s="32"/>
    </row>
    <row r="46" spans="1:11" x14ac:dyDescent="0.25">
      <c r="A46" s="21" t="s">
        <v>37</v>
      </c>
      <c r="B46" s="87" t="s">
        <v>188</v>
      </c>
      <c r="C46" s="34" t="s">
        <v>45</v>
      </c>
      <c r="D46" s="34" t="s">
        <v>44</v>
      </c>
      <c r="E46" s="34" t="s">
        <v>38</v>
      </c>
      <c r="F46" s="34" t="s">
        <v>39</v>
      </c>
      <c r="G46" s="34" t="s">
        <v>43</v>
      </c>
      <c r="H46" s="32"/>
      <c r="I46" s="32"/>
      <c r="J46" s="32"/>
      <c r="K46" s="32"/>
    </row>
    <row r="47" spans="1:11" x14ac:dyDescent="0.25">
      <c r="A47" s="44">
        <v>1</v>
      </c>
      <c r="B47" s="21" t="s">
        <v>49</v>
      </c>
      <c r="C47" s="21"/>
      <c r="D47" s="21"/>
      <c r="E47" s="21"/>
      <c r="F47" s="21">
        <v>147.53</v>
      </c>
      <c r="G47" s="21">
        <v>15.65</v>
      </c>
      <c r="H47" s="32"/>
      <c r="I47" s="32"/>
      <c r="J47" s="32"/>
      <c r="K47" s="32"/>
    </row>
    <row r="48" spans="1:11" x14ac:dyDescent="0.25">
      <c r="A48" s="44">
        <v>2</v>
      </c>
      <c r="B48" s="21" t="s">
        <v>53</v>
      </c>
      <c r="C48" s="21"/>
      <c r="D48" s="21"/>
      <c r="E48" s="21"/>
      <c r="F48" s="21">
        <v>0.18767</v>
      </c>
      <c r="G48" s="21">
        <v>1.67</v>
      </c>
      <c r="H48" s="32"/>
      <c r="I48" s="32"/>
      <c r="J48" s="32"/>
      <c r="K48" s="32"/>
    </row>
    <row r="49" spans="1:11" x14ac:dyDescent="0.25">
      <c r="A49" s="44">
        <v>3</v>
      </c>
      <c r="B49" s="21" t="s">
        <v>54</v>
      </c>
      <c r="C49" s="21"/>
      <c r="D49" s="21"/>
      <c r="E49" s="21"/>
      <c r="F49" s="42">
        <v>9.1600000000000001E-2</v>
      </c>
      <c r="G49" s="21"/>
      <c r="H49" s="32"/>
      <c r="I49" s="32"/>
      <c r="J49" s="32"/>
      <c r="K49" s="32"/>
    </row>
    <row r="50" spans="1:11" x14ac:dyDescent="0.25">
      <c r="A50" s="44">
        <v>4</v>
      </c>
      <c r="B50" s="42" t="s">
        <v>81</v>
      </c>
      <c r="C50" s="21"/>
      <c r="D50" s="21"/>
      <c r="E50" s="21"/>
      <c r="F50" s="21">
        <v>8.8000000000000007</v>
      </c>
      <c r="G50" s="21"/>
      <c r="H50" s="32"/>
      <c r="I50" s="32"/>
      <c r="J50" s="32"/>
      <c r="K50" s="32"/>
    </row>
    <row r="51" spans="1:11" x14ac:dyDescent="0.25">
      <c r="A51" s="44">
        <v>5</v>
      </c>
      <c r="B51" s="42" t="s">
        <v>82</v>
      </c>
      <c r="C51" s="21"/>
      <c r="D51" s="21"/>
      <c r="E51" s="21"/>
      <c r="F51" s="21">
        <v>0.17537</v>
      </c>
      <c r="G51" s="21">
        <v>32.58</v>
      </c>
      <c r="H51" s="32"/>
      <c r="I51" s="32"/>
      <c r="J51" s="32"/>
      <c r="K51" s="32"/>
    </row>
    <row r="52" spans="1:11" x14ac:dyDescent="0.25">
      <c r="A52" s="44">
        <v>6</v>
      </c>
      <c r="B52" s="21" t="s">
        <v>84</v>
      </c>
      <c r="C52" s="21"/>
      <c r="D52" s="21"/>
      <c r="E52" s="21"/>
      <c r="F52" s="21"/>
      <c r="G52" s="21">
        <v>1.88</v>
      </c>
      <c r="H52" s="32"/>
      <c r="I52" s="32"/>
      <c r="J52" s="32"/>
      <c r="K52" s="32"/>
    </row>
    <row r="53" spans="1:11" x14ac:dyDescent="0.25">
      <c r="A53" s="44">
        <v>7</v>
      </c>
      <c r="B53" s="21" t="s">
        <v>85</v>
      </c>
      <c r="C53" s="21"/>
      <c r="D53" s="21"/>
      <c r="E53" s="21"/>
      <c r="F53" s="21"/>
      <c r="G53" s="21">
        <v>12.24</v>
      </c>
      <c r="H53" s="32"/>
      <c r="I53" s="32"/>
      <c r="J53" s="32"/>
      <c r="K53" s="32"/>
    </row>
    <row r="54" spans="1:11" x14ac:dyDescent="0.25">
      <c r="A54" s="44">
        <v>8</v>
      </c>
      <c r="B54" s="21" t="s">
        <v>69</v>
      </c>
      <c r="C54" s="21"/>
      <c r="D54" s="21"/>
      <c r="E54" s="21"/>
      <c r="F54" s="21"/>
      <c r="G54" s="21">
        <v>34.57</v>
      </c>
      <c r="H54" s="32"/>
      <c r="I54" s="32"/>
      <c r="J54" s="32"/>
      <c r="K54" s="32"/>
    </row>
    <row r="55" spans="1:11" x14ac:dyDescent="0.25">
      <c r="A55" s="44">
        <v>9</v>
      </c>
      <c r="B55" s="21" t="s">
        <v>68</v>
      </c>
      <c r="C55" s="21"/>
      <c r="D55" s="21"/>
      <c r="E55" s="21"/>
      <c r="F55" s="21"/>
      <c r="G55" s="21">
        <v>1.04</v>
      </c>
      <c r="H55" s="32"/>
      <c r="I55" s="32"/>
      <c r="J55" s="32"/>
      <c r="K55" s="32"/>
    </row>
    <row r="56" spans="1:11" x14ac:dyDescent="0.25">
      <c r="A56" s="44">
        <v>10</v>
      </c>
      <c r="B56" s="21" t="s">
        <v>55</v>
      </c>
      <c r="C56" s="21"/>
      <c r="D56" s="21"/>
      <c r="E56" s="21"/>
      <c r="F56" s="21"/>
      <c r="G56" s="42">
        <v>0.14000000000000001</v>
      </c>
      <c r="H56" s="32"/>
      <c r="I56" s="32"/>
      <c r="J56" s="32"/>
      <c r="K56" s="32"/>
    </row>
    <row r="57" spans="1:11" x14ac:dyDescent="0.25">
      <c r="A57" s="44">
        <v>11</v>
      </c>
      <c r="B57" s="21" t="s">
        <v>56</v>
      </c>
      <c r="C57" s="21"/>
      <c r="D57" s="21"/>
      <c r="E57" s="21"/>
      <c r="F57" s="21"/>
      <c r="G57" s="21">
        <v>4.74</v>
      </c>
      <c r="H57" s="32"/>
      <c r="I57" s="32"/>
      <c r="J57" s="32"/>
      <c r="K57" s="32"/>
    </row>
    <row r="58" spans="1:11" x14ac:dyDescent="0.25">
      <c r="A58" s="44">
        <v>12</v>
      </c>
      <c r="B58" s="21" t="s">
        <v>58</v>
      </c>
      <c r="C58" s="21"/>
      <c r="D58" s="21"/>
      <c r="E58" s="21"/>
      <c r="F58" s="21">
        <v>1.34E-2</v>
      </c>
      <c r="G58" s="21">
        <v>0.15</v>
      </c>
      <c r="H58" s="32"/>
      <c r="I58" s="32"/>
      <c r="J58" s="32"/>
      <c r="K58" s="32"/>
    </row>
    <row r="59" spans="1:11" x14ac:dyDescent="0.25">
      <c r="A59" s="44">
        <v>13</v>
      </c>
      <c r="B59" s="21" t="s">
        <v>59</v>
      </c>
      <c r="C59" s="21"/>
      <c r="D59" s="21"/>
      <c r="E59" s="21"/>
      <c r="F59" s="21">
        <v>0.67</v>
      </c>
      <c r="G59" s="21">
        <v>2.65</v>
      </c>
      <c r="H59" s="32"/>
      <c r="I59" s="32"/>
      <c r="J59" s="32"/>
      <c r="K59" s="32"/>
    </row>
    <row r="60" spans="1:11" x14ac:dyDescent="0.25">
      <c r="A60" s="44">
        <v>14</v>
      </c>
      <c r="B60" s="21" t="s">
        <v>70</v>
      </c>
      <c r="C60" s="21"/>
      <c r="D60" s="21"/>
      <c r="E60" s="21"/>
      <c r="F60" s="21">
        <v>0</v>
      </c>
      <c r="G60" s="21">
        <v>1.17</v>
      </c>
      <c r="H60" s="32"/>
      <c r="I60" s="32"/>
      <c r="J60" s="32"/>
      <c r="K60" s="32"/>
    </row>
    <row r="61" spans="1:11" x14ac:dyDescent="0.25">
      <c r="A61" s="44">
        <v>15</v>
      </c>
      <c r="B61" s="21" t="s">
        <v>61</v>
      </c>
      <c r="C61" s="21"/>
      <c r="D61" s="21"/>
      <c r="E61" s="21"/>
      <c r="F61" s="21">
        <v>1.93727</v>
      </c>
      <c r="G61" s="21">
        <v>7</v>
      </c>
      <c r="H61" s="32"/>
      <c r="I61" s="32"/>
      <c r="J61" s="32"/>
      <c r="K61" s="32"/>
    </row>
    <row r="62" spans="1:11" x14ac:dyDescent="0.25">
      <c r="A62" s="44">
        <v>16</v>
      </c>
      <c r="B62" s="21" t="s">
        <v>62</v>
      </c>
      <c r="C62" s="21"/>
      <c r="D62" s="21"/>
      <c r="E62" s="21"/>
      <c r="F62" s="21">
        <v>4.3279999999999999E-2</v>
      </c>
      <c r="G62" s="21">
        <v>0.99</v>
      </c>
      <c r="H62" s="32"/>
      <c r="I62" s="32"/>
      <c r="J62" s="32"/>
      <c r="K62" s="32"/>
    </row>
    <row r="63" spans="1:11" x14ac:dyDescent="0.25">
      <c r="A63" s="44">
        <v>17</v>
      </c>
      <c r="B63" s="21" t="s">
        <v>64</v>
      </c>
      <c r="C63" s="7"/>
      <c r="D63" s="21"/>
      <c r="E63" s="21"/>
      <c r="F63" s="21"/>
      <c r="G63" s="42">
        <v>7.0000000000000007E-2</v>
      </c>
      <c r="H63" s="32"/>
      <c r="I63" s="32"/>
      <c r="J63" s="32"/>
      <c r="K63" s="32"/>
    </row>
    <row r="64" spans="1:11" x14ac:dyDescent="0.25">
      <c r="A64" s="44">
        <v>18</v>
      </c>
      <c r="B64" s="21" t="s">
        <v>65</v>
      </c>
      <c r="C64" s="21"/>
      <c r="D64" s="21"/>
      <c r="E64" s="21"/>
      <c r="F64" s="21"/>
      <c r="G64" s="21">
        <v>1.33</v>
      </c>
      <c r="H64" s="32"/>
      <c r="I64" s="32"/>
      <c r="J64" s="32"/>
      <c r="K64" s="32"/>
    </row>
    <row r="65" spans="1:11" x14ac:dyDescent="0.25">
      <c r="A65" s="154" t="s">
        <v>72</v>
      </c>
      <c r="B65" s="154"/>
      <c r="C65" s="34"/>
      <c r="D65" s="34"/>
      <c r="E65" s="34"/>
      <c r="F65" s="34">
        <f>SUM(F47:F64)</f>
        <v>159.44859</v>
      </c>
      <c r="G65" s="34">
        <f>SUM(G47:G64)</f>
        <v>117.87</v>
      </c>
      <c r="H65" s="32"/>
      <c r="I65" s="32"/>
      <c r="J65" s="32"/>
      <c r="K65" s="32"/>
    </row>
    <row r="66" spans="1:11" x14ac:dyDescent="0.25">
      <c r="H66" s="32"/>
      <c r="I66" s="32"/>
      <c r="J66" s="32"/>
      <c r="K66" s="32"/>
    </row>
    <row r="67" spans="1:11" x14ac:dyDescent="0.25">
      <c r="H67" s="32"/>
      <c r="I67" s="32"/>
      <c r="J67" s="32"/>
      <c r="K67" s="32"/>
    </row>
    <row r="68" spans="1:11" x14ac:dyDescent="0.25">
      <c r="A68" s="153" t="s">
        <v>86</v>
      </c>
      <c r="B68" s="153"/>
      <c r="C68" s="153"/>
      <c r="D68" s="153"/>
      <c r="E68" s="153"/>
      <c r="F68" s="153"/>
      <c r="G68" s="153"/>
      <c r="H68" s="32"/>
      <c r="I68" s="32"/>
      <c r="J68" s="32"/>
      <c r="K68" s="32"/>
    </row>
    <row r="69" spans="1:11" x14ac:dyDescent="0.25">
      <c r="A69" s="34" t="s">
        <v>37</v>
      </c>
      <c r="B69" s="34" t="s">
        <v>0</v>
      </c>
      <c r="C69" s="34" t="s">
        <v>45</v>
      </c>
      <c r="D69" s="34" t="s">
        <v>44</v>
      </c>
      <c r="E69" s="34" t="s">
        <v>38</v>
      </c>
      <c r="F69" s="34" t="s">
        <v>39</v>
      </c>
      <c r="G69" s="34" t="s">
        <v>43</v>
      </c>
      <c r="H69" s="32"/>
      <c r="I69" s="32"/>
      <c r="J69" s="32"/>
      <c r="K69" s="32"/>
    </row>
    <row r="70" spans="1:11" x14ac:dyDescent="0.25">
      <c r="A70" s="44">
        <v>1</v>
      </c>
      <c r="B70" s="21" t="s">
        <v>73</v>
      </c>
      <c r="C70" s="7"/>
      <c r="D70" s="7"/>
      <c r="E70" s="7"/>
      <c r="F70" s="7">
        <v>61.92</v>
      </c>
      <c r="G70" s="7">
        <v>84.5</v>
      </c>
      <c r="H70" s="32"/>
      <c r="I70" s="32"/>
      <c r="J70" s="32"/>
      <c r="K70" s="32"/>
    </row>
    <row r="71" spans="1:11" x14ac:dyDescent="0.25">
      <c r="A71" s="44">
        <v>2</v>
      </c>
      <c r="B71" s="21" t="s">
        <v>74</v>
      </c>
      <c r="C71" s="7"/>
      <c r="D71" s="21"/>
      <c r="E71" s="21"/>
      <c r="F71" s="21">
        <v>3.14</v>
      </c>
      <c r="G71" s="21">
        <v>29.75</v>
      </c>
      <c r="H71" s="32"/>
      <c r="I71" s="32"/>
      <c r="J71" s="32"/>
      <c r="K71" s="32"/>
    </row>
    <row r="72" spans="1:11" x14ac:dyDescent="0.25">
      <c r="A72" s="44">
        <v>3</v>
      </c>
      <c r="B72" s="21" t="s">
        <v>76</v>
      </c>
      <c r="C72" s="7"/>
      <c r="D72" s="21"/>
      <c r="E72" s="21"/>
      <c r="F72" s="21">
        <v>0.42079</v>
      </c>
      <c r="G72" s="21">
        <v>0.52</v>
      </c>
      <c r="H72" s="32"/>
      <c r="I72" s="32"/>
      <c r="J72" s="32"/>
      <c r="K72" s="32"/>
    </row>
    <row r="73" spans="1:11" x14ac:dyDescent="0.25">
      <c r="A73" s="44">
        <v>4</v>
      </c>
      <c r="B73" s="21" t="s">
        <v>77</v>
      </c>
      <c r="C73" s="7"/>
      <c r="D73" s="21"/>
      <c r="E73" s="21"/>
      <c r="F73" s="21">
        <v>5.44</v>
      </c>
      <c r="G73" s="21">
        <v>4.37</v>
      </c>
      <c r="H73" s="32"/>
      <c r="I73" s="32"/>
      <c r="J73" s="32"/>
      <c r="K73" s="32"/>
    </row>
    <row r="74" spans="1:11" x14ac:dyDescent="0.25">
      <c r="A74" s="44">
        <v>5</v>
      </c>
      <c r="B74" s="21" t="s">
        <v>78</v>
      </c>
      <c r="C74" s="7"/>
      <c r="D74" s="21"/>
      <c r="E74" s="21"/>
      <c r="F74" s="21">
        <v>0</v>
      </c>
      <c r="G74" s="21">
        <v>0.22</v>
      </c>
      <c r="H74" s="32"/>
      <c r="I74" s="32"/>
      <c r="J74" s="32"/>
      <c r="K74" s="32"/>
    </row>
    <row r="75" spans="1:11" x14ac:dyDescent="0.25">
      <c r="A75" s="44">
        <v>6</v>
      </c>
      <c r="B75" s="21" t="s">
        <v>79</v>
      </c>
      <c r="C75" s="7"/>
      <c r="D75" s="21"/>
      <c r="E75" s="42"/>
      <c r="F75" s="21"/>
      <c r="G75" s="21">
        <v>0.33</v>
      </c>
      <c r="H75" s="32"/>
      <c r="I75" s="32"/>
      <c r="J75" s="32"/>
      <c r="K75" s="32"/>
    </row>
    <row r="76" spans="1:11" x14ac:dyDescent="0.25">
      <c r="A76" s="44">
        <v>7</v>
      </c>
      <c r="B76" s="21" t="s">
        <v>95</v>
      </c>
      <c r="C76" s="7"/>
      <c r="D76" s="21"/>
      <c r="E76" s="42"/>
      <c r="F76" s="21"/>
      <c r="G76" s="21">
        <v>2.58</v>
      </c>
      <c r="H76" s="32"/>
      <c r="I76" s="32"/>
      <c r="J76" s="32"/>
      <c r="K76" s="32"/>
    </row>
    <row r="77" spans="1:11" x14ac:dyDescent="0.25">
      <c r="A77" s="44">
        <v>8</v>
      </c>
      <c r="B77" s="42" t="s">
        <v>139</v>
      </c>
      <c r="C77" s="21"/>
      <c r="D77" s="21"/>
      <c r="E77" s="21"/>
      <c r="F77" s="21"/>
      <c r="G77" s="21">
        <v>0.6</v>
      </c>
      <c r="H77" s="32"/>
      <c r="I77" s="32"/>
      <c r="J77" s="32"/>
      <c r="K77" s="32"/>
    </row>
    <row r="78" spans="1:11" x14ac:dyDescent="0.25">
      <c r="A78" s="155" t="s">
        <v>97</v>
      </c>
      <c r="B78" s="156"/>
      <c r="C78" s="41">
        <f>SUM(C70:C77)</f>
        <v>0</v>
      </c>
      <c r="D78" s="41">
        <f>SUM(D70:D77)</f>
        <v>0</v>
      </c>
      <c r="E78" s="41">
        <f>SUM(E70:E77)</f>
        <v>0</v>
      </c>
      <c r="F78" s="41">
        <f>SUM(F70:F77)</f>
        <v>70.920789999999997</v>
      </c>
      <c r="G78" s="41">
        <f>SUM(G70:G77)</f>
        <v>122.86999999999999</v>
      </c>
      <c r="H78" s="32"/>
      <c r="I78" s="32"/>
      <c r="J78" s="32"/>
      <c r="K78" s="32"/>
    </row>
    <row r="79" spans="1:11" x14ac:dyDescent="0.25">
      <c r="H79" s="32"/>
      <c r="I79" s="32"/>
      <c r="J79" s="32"/>
      <c r="K79" s="32"/>
    </row>
    <row r="81" spans="1:11" x14ac:dyDescent="0.25">
      <c r="A81" s="4"/>
      <c r="B81" s="26" t="s">
        <v>34</v>
      </c>
      <c r="C81" s="4"/>
      <c r="D81" s="4"/>
      <c r="E81" s="4"/>
      <c r="F81" s="6"/>
      <c r="G81" s="4"/>
      <c r="H81" s="32"/>
      <c r="I81" s="32"/>
      <c r="J81" s="32"/>
      <c r="K81" s="32"/>
    </row>
    <row r="82" spans="1:11" x14ac:dyDescent="0.25">
      <c r="A82" s="1" t="s">
        <v>37</v>
      </c>
      <c r="B82" s="10" t="s">
        <v>0</v>
      </c>
      <c r="C82" s="1" t="s">
        <v>45</v>
      </c>
      <c r="D82" s="1" t="s">
        <v>44</v>
      </c>
      <c r="E82" s="1" t="s">
        <v>38</v>
      </c>
      <c r="F82" s="11" t="s">
        <v>39</v>
      </c>
      <c r="G82" s="1" t="s">
        <v>43</v>
      </c>
      <c r="H82" s="32"/>
      <c r="I82" s="32"/>
      <c r="J82" s="32"/>
      <c r="K82" s="32"/>
    </row>
    <row r="83" spans="1:11" x14ac:dyDescent="0.25">
      <c r="A83" s="5">
        <v>1</v>
      </c>
      <c r="B83" s="5" t="s">
        <v>171</v>
      </c>
      <c r="C83" s="5"/>
      <c r="D83" s="5"/>
      <c r="E83" s="5"/>
      <c r="F83" s="8"/>
      <c r="G83" s="5">
        <v>0.05</v>
      </c>
    </row>
    <row r="84" spans="1:11" x14ac:dyDescent="0.25">
      <c r="A84" s="5">
        <v>2</v>
      </c>
      <c r="B84" s="5" t="s">
        <v>173</v>
      </c>
      <c r="C84" s="5"/>
      <c r="D84" s="5"/>
      <c r="E84" s="5"/>
      <c r="F84" s="8"/>
      <c r="G84" s="5">
        <v>0.44</v>
      </c>
      <c r="H84" s="32"/>
      <c r="I84" s="32"/>
      <c r="J84" s="32"/>
      <c r="K84" s="32"/>
    </row>
    <row r="85" spans="1:11" x14ac:dyDescent="0.25">
      <c r="A85" s="5">
        <v>3</v>
      </c>
      <c r="B85" s="5" t="s">
        <v>176</v>
      </c>
      <c r="C85" s="5"/>
      <c r="D85" s="5"/>
      <c r="E85" s="5"/>
      <c r="F85" s="8">
        <v>2.42</v>
      </c>
      <c r="G85" s="5">
        <f>0.24+1.64</f>
        <v>1.88</v>
      </c>
    </row>
    <row r="86" spans="1:11" x14ac:dyDescent="0.25">
      <c r="A86" s="5">
        <v>4</v>
      </c>
      <c r="B86" s="5" t="s">
        <v>186</v>
      </c>
      <c r="C86" s="5"/>
      <c r="D86" s="5"/>
      <c r="E86" s="5"/>
      <c r="F86" s="8"/>
      <c r="G86" s="5">
        <v>0.36</v>
      </c>
    </row>
    <row r="87" spans="1:11" x14ac:dyDescent="0.25">
      <c r="A87" s="5">
        <v>5</v>
      </c>
      <c r="B87" s="5" t="s">
        <v>184</v>
      </c>
      <c r="C87" s="21"/>
      <c r="D87" s="21"/>
      <c r="E87" s="21"/>
      <c r="F87" s="21"/>
      <c r="G87" s="21">
        <v>0.04</v>
      </c>
    </row>
    <row r="88" spans="1:11" x14ac:dyDescent="0.25">
      <c r="A88" s="151" t="s">
        <v>143</v>
      </c>
      <c r="B88" s="152"/>
      <c r="C88" s="21"/>
      <c r="D88" s="21"/>
      <c r="E88" s="21"/>
      <c r="F88" s="21">
        <f>SUM(F83:F86)</f>
        <v>2.42</v>
      </c>
      <c r="G88" s="21">
        <f>SUM(G83:G87)</f>
        <v>2.77</v>
      </c>
    </row>
  </sheetData>
  <mergeCells count="9">
    <mergeCell ref="F1:G1"/>
    <mergeCell ref="A88:B88"/>
    <mergeCell ref="A78:B78"/>
    <mergeCell ref="A2:G2"/>
    <mergeCell ref="A45:G45"/>
    <mergeCell ref="A65:B65"/>
    <mergeCell ref="A68:G68"/>
    <mergeCell ref="A3:G3"/>
    <mergeCell ref="A4:G4"/>
  </mergeCells>
  <pageMargins left="0.7" right="0.39" top="0.75" bottom="0.75" header="0.3" footer="0.3"/>
  <pageSetup paperSize="9" orientation="portrait" horizontalDpi="0" verticalDpi="0" r:id="rId1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selection activeCell="A3" sqref="A3:G3"/>
    </sheetView>
  </sheetViews>
  <sheetFormatPr defaultRowHeight="15" x14ac:dyDescent="0.25"/>
  <cols>
    <col min="1" max="1" width="6" style="71" customWidth="1"/>
    <col min="2" max="2" width="33.28515625" style="32" customWidth="1"/>
    <col min="3" max="5" width="10.140625" style="32" customWidth="1"/>
    <col min="6" max="6" width="11" style="32" customWidth="1"/>
    <col min="7" max="7" width="10.140625" style="32" customWidth="1"/>
    <col min="8" max="11" width="9.140625" style="4"/>
    <col min="12" max="16384" width="9.140625" style="32"/>
  </cols>
  <sheetData>
    <row r="1" spans="1:11" x14ac:dyDescent="0.25">
      <c r="F1" s="150" t="s">
        <v>213</v>
      </c>
      <c r="G1" s="150"/>
    </row>
    <row r="2" spans="1:11" x14ac:dyDescent="0.25">
      <c r="A2" s="147" t="s">
        <v>138</v>
      </c>
      <c r="B2" s="147"/>
      <c r="C2" s="147"/>
      <c r="D2" s="147"/>
      <c r="E2" s="147"/>
      <c r="F2" s="147"/>
      <c r="G2" s="147"/>
      <c r="H2" s="32"/>
      <c r="I2" s="32"/>
      <c r="J2" s="32"/>
      <c r="K2" s="32"/>
    </row>
    <row r="3" spans="1:11" x14ac:dyDescent="0.25">
      <c r="A3" s="138" t="s">
        <v>219</v>
      </c>
      <c r="B3" s="138"/>
      <c r="C3" s="138"/>
      <c r="D3" s="138"/>
      <c r="E3" s="138"/>
      <c r="F3" s="138"/>
      <c r="G3" s="138"/>
      <c r="H3" s="32"/>
      <c r="I3" s="32"/>
      <c r="J3" s="32"/>
      <c r="K3" s="32"/>
    </row>
    <row r="4" spans="1:11" x14ac:dyDescent="0.25">
      <c r="A4" s="138" t="s">
        <v>223</v>
      </c>
      <c r="B4" s="138"/>
      <c r="C4" s="138"/>
      <c r="D4" s="138"/>
      <c r="E4" s="138"/>
      <c r="F4" s="138"/>
      <c r="G4" s="138"/>
      <c r="H4" s="32"/>
      <c r="I4" s="32"/>
      <c r="J4" s="32"/>
      <c r="K4" s="32"/>
    </row>
    <row r="5" spans="1:11" x14ac:dyDescent="0.25">
      <c r="G5" s="33" t="s">
        <v>96</v>
      </c>
      <c r="H5" s="32"/>
      <c r="I5" s="32"/>
      <c r="J5" s="32"/>
      <c r="K5" s="32"/>
    </row>
    <row r="6" spans="1:11" x14ac:dyDescent="0.25">
      <c r="A6" s="60" t="s">
        <v>37</v>
      </c>
      <c r="B6" s="34" t="s">
        <v>0</v>
      </c>
      <c r="C6" s="34" t="s">
        <v>45</v>
      </c>
      <c r="D6" s="34" t="s">
        <v>44</v>
      </c>
      <c r="E6" s="34" t="s">
        <v>38</v>
      </c>
      <c r="F6" s="34" t="s">
        <v>39</v>
      </c>
      <c r="G6" s="34" t="s">
        <v>43</v>
      </c>
      <c r="H6" s="32"/>
      <c r="I6" s="32"/>
      <c r="J6" s="32"/>
      <c r="K6" s="32"/>
    </row>
    <row r="7" spans="1:11" x14ac:dyDescent="0.25">
      <c r="A7" s="44">
        <v>1</v>
      </c>
      <c r="B7" s="21" t="s">
        <v>6</v>
      </c>
      <c r="C7" s="21"/>
      <c r="D7" s="21"/>
      <c r="E7" s="21"/>
      <c r="F7" s="17"/>
      <c r="G7" s="21"/>
      <c r="H7" s="32"/>
      <c r="I7" s="32"/>
      <c r="J7" s="32"/>
      <c r="K7" s="32"/>
    </row>
    <row r="8" spans="1:11" x14ac:dyDescent="0.25">
      <c r="A8" s="44">
        <v>2</v>
      </c>
      <c r="B8" s="21" t="s">
        <v>7</v>
      </c>
      <c r="C8" s="17"/>
      <c r="D8" s="17"/>
      <c r="E8" s="17">
        <v>5.42</v>
      </c>
      <c r="F8" s="17">
        <v>43.4</v>
      </c>
      <c r="G8" s="17">
        <v>17.46</v>
      </c>
      <c r="H8" s="32"/>
      <c r="I8" s="32"/>
      <c r="J8" s="32"/>
      <c r="K8" s="32"/>
    </row>
    <row r="9" spans="1:11" x14ac:dyDescent="0.25">
      <c r="A9" s="44">
        <v>3</v>
      </c>
      <c r="B9" s="21" t="s">
        <v>8</v>
      </c>
      <c r="C9" s="17"/>
      <c r="D9" s="17"/>
      <c r="E9" s="17"/>
      <c r="F9" s="17">
        <v>3.02</v>
      </c>
      <c r="G9" s="17">
        <v>3.92</v>
      </c>
      <c r="H9" s="32"/>
      <c r="I9" s="32"/>
      <c r="J9" s="32"/>
      <c r="K9" s="32"/>
    </row>
    <row r="10" spans="1:11" x14ac:dyDescent="0.25">
      <c r="A10" s="44">
        <v>4</v>
      </c>
      <c r="B10" s="21" t="s">
        <v>9</v>
      </c>
      <c r="C10" s="31"/>
      <c r="D10" s="31"/>
      <c r="E10" s="31"/>
      <c r="F10" s="31"/>
      <c r="G10" s="31"/>
      <c r="H10" s="32"/>
      <c r="I10" s="32"/>
      <c r="J10" s="32"/>
      <c r="K10" s="32"/>
    </row>
    <row r="11" spans="1:11" ht="45" x14ac:dyDescent="0.25">
      <c r="A11" s="44">
        <v>4.0999999999999996</v>
      </c>
      <c r="B11" s="35" t="s">
        <v>10</v>
      </c>
      <c r="C11" s="36"/>
      <c r="D11" s="36"/>
      <c r="E11" s="36"/>
      <c r="F11" s="36"/>
      <c r="G11" s="17"/>
      <c r="H11" s="32"/>
      <c r="I11" s="32"/>
      <c r="J11" s="32"/>
      <c r="K11" s="32"/>
    </row>
    <row r="12" spans="1:11" x14ac:dyDescent="0.25">
      <c r="A12" s="44">
        <v>5</v>
      </c>
      <c r="B12" s="21" t="s">
        <v>11</v>
      </c>
      <c r="C12" s="17"/>
      <c r="D12" s="17"/>
      <c r="E12" s="17"/>
      <c r="F12" s="17"/>
      <c r="G12" s="17"/>
      <c r="H12" s="32"/>
      <c r="I12" s="32"/>
      <c r="J12" s="32"/>
      <c r="K12" s="32"/>
    </row>
    <row r="13" spans="1:11" x14ac:dyDescent="0.25">
      <c r="A13" s="44">
        <v>6</v>
      </c>
      <c r="B13" s="34" t="s">
        <v>21</v>
      </c>
      <c r="C13" s="17"/>
      <c r="D13" s="17"/>
      <c r="E13" s="17"/>
      <c r="F13" s="17"/>
      <c r="G13" s="17"/>
      <c r="H13" s="32"/>
      <c r="I13" s="32"/>
      <c r="J13" s="32"/>
      <c r="K13" s="32"/>
    </row>
    <row r="14" spans="1:11" x14ac:dyDescent="0.25">
      <c r="A14" s="44">
        <v>6.1</v>
      </c>
      <c r="B14" s="21" t="s">
        <v>12</v>
      </c>
      <c r="C14" s="17"/>
      <c r="D14" s="17"/>
      <c r="E14" s="17"/>
      <c r="F14" s="17"/>
      <c r="G14" s="17"/>
      <c r="H14" s="32"/>
      <c r="I14" s="32"/>
      <c r="J14" s="32"/>
      <c r="K14" s="32"/>
    </row>
    <row r="15" spans="1:11" x14ac:dyDescent="0.25">
      <c r="A15" s="44">
        <v>6.2</v>
      </c>
      <c r="B15" s="21" t="s">
        <v>13</v>
      </c>
      <c r="C15" s="17"/>
      <c r="D15" s="17"/>
      <c r="E15" s="17"/>
      <c r="F15" s="17"/>
      <c r="G15" s="17">
        <v>7.78</v>
      </c>
      <c r="H15" s="32"/>
      <c r="I15" s="32"/>
      <c r="J15" s="32"/>
      <c r="K15" s="32"/>
    </row>
    <row r="16" spans="1:11" x14ac:dyDescent="0.25">
      <c r="A16" s="44">
        <v>6.3</v>
      </c>
      <c r="B16" s="21" t="s">
        <v>14</v>
      </c>
      <c r="C16" s="17"/>
      <c r="D16" s="17"/>
      <c r="E16" s="17"/>
      <c r="F16" s="17"/>
      <c r="G16" s="17"/>
      <c r="H16" s="32"/>
      <c r="I16" s="32"/>
      <c r="J16" s="32"/>
      <c r="K16" s="32"/>
    </row>
    <row r="17" spans="1:11" x14ac:dyDescent="0.25">
      <c r="A17" s="44">
        <v>6.4</v>
      </c>
      <c r="B17" s="21" t="s">
        <v>15</v>
      </c>
      <c r="C17" s="17"/>
      <c r="D17" s="17"/>
      <c r="E17" s="17"/>
      <c r="F17" s="17">
        <v>0.04</v>
      </c>
      <c r="G17" s="17">
        <v>0.41</v>
      </c>
      <c r="H17" s="32"/>
      <c r="I17" s="32"/>
      <c r="J17" s="32"/>
      <c r="K17" s="32"/>
    </row>
    <row r="18" spans="1:11" x14ac:dyDescent="0.25">
      <c r="A18" s="44">
        <v>6.5</v>
      </c>
      <c r="B18" s="21" t="s">
        <v>16</v>
      </c>
      <c r="C18" s="17"/>
      <c r="D18" s="17"/>
      <c r="E18" s="17"/>
      <c r="F18" s="17">
        <v>2.31</v>
      </c>
      <c r="G18" s="17"/>
      <c r="H18" s="32"/>
      <c r="I18" s="32"/>
      <c r="J18" s="32"/>
      <c r="K18" s="32"/>
    </row>
    <row r="19" spans="1:11" x14ac:dyDescent="0.25">
      <c r="A19" s="44">
        <v>6.6</v>
      </c>
      <c r="B19" s="21" t="s">
        <v>17</v>
      </c>
      <c r="C19" s="17"/>
      <c r="D19" s="17"/>
      <c r="E19" s="17"/>
      <c r="F19" s="17"/>
      <c r="G19" s="17"/>
      <c r="H19" s="32"/>
      <c r="I19" s="32"/>
      <c r="J19" s="32"/>
      <c r="K19" s="32"/>
    </row>
    <row r="20" spans="1:11" x14ac:dyDescent="0.25">
      <c r="A20" s="44">
        <v>6.7</v>
      </c>
      <c r="B20" s="21" t="s">
        <v>18</v>
      </c>
      <c r="C20" s="17"/>
      <c r="D20" s="17"/>
      <c r="E20" s="17"/>
      <c r="F20" s="17"/>
      <c r="G20" s="17"/>
      <c r="H20" s="32"/>
      <c r="I20" s="32"/>
      <c r="J20" s="32"/>
      <c r="K20" s="32"/>
    </row>
    <row r="21" spans="1:11" x14ac:dyDescent="0.25">
      <c r="A21" s="44">
        <v>6.8</v>
      </c>
      <c r="B21" s="21" t="s">
        <v>41</v>
      </c>
      <c r="C21" s="17"/>
      <c r="D21" s="17"/>
      <c r="E21" s="17"/>
      <c r="F21" s="17"/>
      <c r="G21" s="17"/>
      <c r="H21" s="32"/>
      <c r="I21" s="32"/>
      <c r="J21" s="32"/>
      <c r="K21" s="32"/>
    </row>
    <row r="22" spans="1:11" x14ac:dyDescent="0.25">
      <c r="A22" s="44">
        <v>6.9</v>
      </c>
      <c r="B22" s="21" t="s">
        <v>19</v>
      </c>
      <c r="C22" s="17"/>
      <c r="D22" s="17"/>
      <c r="E22" s="17"/>
      <c r="F22" s="17"/>
      <c r="G22" s="17">
        <v>0.37</v>
      </c>
      <c r="H22" s="32"/>
      <c r="I22" s="32"/>
      <c r="J22" s="32"/>
      <c r="K22" s="32"/>
    </row>
    <row r="23" spans="1:11" x14ac:dyDescent="0.25">
      <c r="A23" s="60"/>
      <c r="B23" s="34" t="s">
        <v>20</v>
      </c>
      <c r="C23" s="34"/>
      <c r="D23" s="34"/>
      <c r="E23" s="34"/>
      <c r="F23" s="34">
        <f>SUM(F14:F22)</f>
        <v>2.35</v>
      </c>
      <c r="G23" s="34">
        <f>SUM(G14:G22)</f>
        <v>8.5599999999999987</v>
      </c>
      <c r="H23" s="32"/>
      <c r="I23" s="32"/>
      <c r="J23" s="32"/>
      <c r="K23" s="32"/>
    </row>
    <row r="24" spans="1:11" x14ac:dyDescent="0.25">
      <c r="A24" s="44">
        <v>7</v>
      </c>
      <c r="B24" s="34" t="s">
        <v>22</v>
      </c>
      <c r="C24" s="21"/>
      <c r="D24" s="21"/>
      <c r="E24" s="21"/>
      <c r="F24" s="21"/>
      <c r="G24" s="21"/>
      <c r="H24" s="32"/>
      <c r="I24" s="32"/>
      <c r="J24" s="32"/>
      <c r="K24" s="32"/>
    </row>
    <row r="25" spans="1:11" x14ac:dyDescent="0.25">
      <c r="A25" s="44">
        <v>7.1</v>
      </c>
      <c r="B25" s="21" t="s">
        <v>23</v>
      </c>
      <c r="C25" s="21"/>
      <c r="D25" s="21"/>
      <c r="E25" s="21"/>
      <c r="F25" s="21"/>
      <c r="G25" s="21"/>
      <c r="H25" s="32"/>
      <c r="I25" s="32"/>
      <c r="J25" s="32"/>
      <c r="K25" s="32"/>
    </row>
    <row r="26" spans="1:11" x14ac:dyDescent="0.25">
      <c r="A26" s="44">
        <v>7.2</v>
      </c>
      <c r="B26" s="21" t="s">
        <v>24</v>
      </c>
      <c r="C26" s="21"/>
      <c r="D26" s="21"/>
      <c r="E26" s="21"/>
      <c r="F26" s="21"/>
      <c r="G26" s="21"/>
      <c r="H26" s="32"/>
      <c r="I26" s="32"/>
      <c r="J26" s="32"/>
      <c r="K26" s="32"/>
    </row>
    <row r="27" spans="1:11" x14ac:dyDescent="0.25">
      <c r="A27" s="44">
        <v>7.3</v>
      </c>
      <c r="B27" s="21" t="s">
        <v>25</v>
      </c>
      <c r="C27" s="21"/>
      <c r="D27" s="21"/>
      <c r="E27" s="21"/>
      <c r="F27" s="21"/>
      <c r="G27" s="21"/>
      <c r="H27" s="32"/>
      <c r="I27" s="32"/>
      <c r="J27" s="32"/>
      <c r="K27" s="32"/>
    </row>
    <row r="28" spans="1:11" x14ac:dyDescent="0.25">
      <c r="A28" s="44">
        <v>7.4</v>
      </c>
      <c r="B28" s="21" t="s">
        <v>26</v>
      </c>
      <c r="C28" s="21"/>
      <c r="D28" s="21"/>
      <c r="E28" s="21"/>
      <c r="F28" s="21"/>
      <c r="G28" s="21"/>
      <c r="H28" s="32"/>
      <c r="I28" s="32"/>
      <c r="J28" s="32"/>
      <c r="K28" s="32"/>
    </row>
    <row r="29" spans="1:11" x14ac:dyDescent="0.25">
      <c r="A29" s="44">
        <v>7.5</v>
      </c>
      <c r="B29" s="21" t="s">
        <v>27</v>
      </c>
      <c r="C29" s="21"/>
      <c r="D29" s="21"/>
      <c r="E29" s="21"/>
      <c r="F29" s="21"/>
      <c r="G29" s="21"/>
      <c r="H29" s="32"/>
      <c r="I29" s="32"/>
      <c r="J29" s="32"/>
      <c r="K29" s="32"/>
    </row>
    <row r="30" spans="1:11" x14ac:dyDescent="0.25">
      <c r="A30" s="44">
        <v>7.6</v>
      </c>
      <c r="B30" s="21" t="s">
        <v>42</v>
      </c>
      <c r="C30" s="21"/>
      <c r="D30" s="21"/>
      <c r="E30" s="21"/>
      <c r="F30" s="21"/>
      <c r="G30" s="21"/>
      <c r="H30" s="32"/>
      <c r="I30" s="32"/>
      <c r="J30" s="32"/>
      <c r="K30" s="32"/>
    </row>
    <row r="31" spans="1:11" x14ac:dyDescent="0.25">
      <c r="A31" s="60"/>
      <c r="B31" s="34" t="s">
        <v>28</v>
      </c>
      <c r="C31" s="34"/>
      <c r="D31" s="34"/>
      <c r="E31" s="34"/>
      <c r="F31" s="34">
        <f>SUM(F25:F30)</f>
        <v>0</v>
      </c>
      <c r="G31" s="34">
        <f>SUM(G25:G30)</f>
        <v>0</v>
      </c>
      <c r="H31" s="32"/>
      <c r="I31" s="32"/>
      <c r="J31" s="32"/>
      <c r="K31" s="32"/>
    </row>
    <row r="32" spans="1:11" x14ac:dyDescent="0.25">
      <c r="A32" s="44">
        <v>8</v>
      </c>
      <c r="B32" s="21" t="s">
        <v>87</v>
      </c>
      <c r="C32" s="37"/>
      <c r="D32" s="37"/>
      <c r="E32" s="37"/>
      <c r="F32" s="37"/>
      <c r="G32" s="37"/>
      <c r="H32" s="32"/>
      <c r="I32" s="32"/>
      <c r="J32" s="32"/>
      <c r="K32" s="32"/>
    </row>
    <row r="33" spans="1:11" x14ac:dyDescent="0.25">
      <c r="A33" s="44">
        <v>9</v>
      </c>
      <c r="B33" s="21" t="s">
        <v>29</v>
      </c>
      <c r="C33" s="21"/>
      <c r="D33" s="21"/>
      <c r="E33" s="21"/>
      <c r="F33" s="21"/>
      <c r="G33" s="21"/>
      <c r="H33" s="32"/>
      <c r="I33" s="32"/>
      <c r="J33" s="32"/>
      <c r="K33" s="32"/>
    </row>
    <row r="34" spans="1:11" x14ac:dyDescent="0.25">
      <c r="A34" s="44">
        <v>10</v>
      </c>
      <c r="B34" s="21" t="s">
        <v>30</v>
      </c>
      <c r="C34" s="21"/>
      <c r="D34" s="21"/>
      <c r="E34" s="21"/>
      <c r="F34" s="21"/>
      <c r="G34" s="21"/>
      <c r="H34" s="32"/>
      <c r="I34" s="32"/>
      <c r="J34" s="32"/>
      <c r="K34" s="32"/>
    </row>
    <row r="35" spans="1:11" ht="21.75" customHeight="1" x14ac:dyDescent="0.25">
      <c r="A35" s="44">
        <v>11</v>
      </c>
      <c r="B35" s="21" t="s">
        <v>31</v>
      </c>
      <c r="C35" s="21"/>
      <c r="D35" s="21"/>
      <c r="E35" s="21">
        <v>2.34</v>
      </c>
      <c r="F35" s="21">
        <v>9.24</v>
      </c>
      <c r="G35" s="21">
        <v>2.75</v>
      </c>
      <c r="H35" s="32"/>
      <c r="I35" s="32"/>
      <c r="J35" s="32"/>
      <c r="K35" s="32"/>
    </row>
    <row r="36" spans="1:11" ht="21.75" customHeight="1" x14ac:dyDescent="0.25">
      <c r="A36" s="44">
        <v>12</v>
      </c>
      <c r="B36" s="21" t="s">
        <v>32</v>
      </c>
      <c r="C36" s="21"/>
      <c r="D36" s="21"/>
      <c r="E36" s="21">
        <f>+E53</f>
        <v>0.57000000000000006</v>
      </c>
      <c r="F36" s="21">
        <f>+F53</f>
        <v>14.94</v>
      </c>
      <c r="G36" s="21">
        <f>+G53</f>
        <v>2.5099999999999998</v>
      </c>
      <c r="H36" s="32"/>
      <c r="I36" s="32"/>
      <c r="J36" s="32"/>
      <c r="K36" s="32"/>
    </row>
    <row r="37" spans="1:11" ht="21.75" customHeight="1" x14ac:dyDescent="0.25">
      <c r="A37" s="60"/>
      <c r="B37" s="34" t="s">
        <v>33</v>
      </c>
      <c r="C37" s="34"/>
      <c r="D37" s="34"/>
      <c r="E37" s="34">
        <f>+E7+E8+E9+E10+E23+E31+E32+E33+E34+E35+E36</f>
        <v>8.33</v>
      </c>
      <c r="F37" s="34">
        <f>+F7+F8+F9+F10+F23+F31+F32+F33+F34+F35+F36</f>
        <v>72.95</v>
      </c>
      <c r="G37" s="34">
        <f>+G7+G8+G9+G10+G23+G31+G32+G33+G34+G35+G36</f>
        <v>35.199999999999996</v>
      </c>
      <c r="H37" s="32"/>
      <c r="I37" s="32"/>
      <c r="J37" s="32"/>
      <c r="K37" s="32"/>
    </row>
    <row r="38" spans="1:11" ht="21.75" customHeight="1" x14ac:dyDescent="0.25">
      <c r="A38" s="44"/>
      <c r="B38" s="21" t="s">
        <v>34</v>
      </c>
      <c r="C38" s="38"/>
      <c r="D38" s="38"/>
      <c r="F38" s="21">
        <v>0.12</v>
      </c>
      <c r="G38" s="21">
        <v>0.06</v>
      </c>
      <c r="H38" s="32"/>
      <c r="I38" s="32"/>
      <c r="J38" s="32"/>
      <c r="K38" s="32"/>
    </row>
    <row r="39" spans="1:11" ht="21.75" customHeight="1" x14ac:dyDescent="0.25">
      <c r="A39" s="44"/>
      <c r="B39" s="21" t="s">
        <v>35</v>
      </c>
      <c r="C39" s="38"/>
      <c r="D39" s="38"/>
      <c r="E39" s="21">
        <f>+E37-E38</f>
        <v>8.33</v>
      </c>
      <c r="F39" s="21">
        <f t="shared" ref="F39:G39" si="0">+F37-F38</f>
        <v>72.83</v>
      </c>
      <c r="G39" s="21">
        <f t="shared" si="0"/>
        <v>35.139999999999993</v>
      </c>
      <c r="H39" s="32"/>
      <c r="I39" s="32"/>
      <c r="J39" s="32"/>
      <c r="K39" s="32"/>
    </row>
    <row r="40" spans="1:11" ht="48" customHeight="1" x14ac:dyDescent="0.25">
      <c r="A40" s="44"/>
      <c r="B40" s="39" t="s">
        <v>36</v>
      </c>
      <c r="C40" s="40"/>
      <c r="D40" s="40"/>
      <c r="E40" s="40"/>
      <c r="F40" s="40"/>
      <c r="G40" s="40"/>
      <c r="H40" s="32"/>
      <c r="I40" s="32"/>
      <c r="J40" s="32"/>
      <c r="K40" s="32"/>
    </row>
    <row r="41" spans="1:11" ht="21.75" customHeight="1" x14ac:dyDescent="0.25">
      <c r="A41" s="44"/>
      <c r="B41" s="21"/>
      <c r="C41" s="21"/>
      <c r="D41" s="21"/>
      <c r="E41" s="21"/>
      <c r="F41" s="21"/>
      <c r="G41" s="21"/>
      <c r="H41" s="32"/>
      <c r="I41" s="32"/>
      <c r="J41" s="32"/>
      <c r="K41" s="32"/>
    </row>
    <row r="42" spans="1:11" ht="21.75" customHeight="1" x14ac:dyDescent="0.25">
      <c r="A42" s="89"/>
      <c r="B42" s="90"/>
      <c r="C42" s="90"/>
      <c r="D42" s="90"/>
      <c r="E42" s="90"/>
      <c r="F42" s="90"/>
      <c r="G42" s="90"/>
      <c r="H42" s="32"/>
      <c r="I42" s="32"/>
      <c r="J42" s="32"/>
      <c r="K42" s="32"/>
    </row>
    <row r="43" spans="1:11" x14ac:dyDescent="0.25">
      <c r="A43" s="153" t="s">
        <v>46</v>
      </c>
      <c r="B43" s="153"/>
      <c r="C43" s="153"/>
      <c r="D43" s="153"/>
      <c r="E43" s="153"/>
      <c r="F43" s="153"/>
      <c r="G43" s="153"/>
      <c r="H43" s="32"/>
      <c r="I43" s="32"/>
      <c r="J43" s="32"/>
      <c r="K43" s="32"/>
    </row>
    <row r="44" spans="1:11" x14ac:dyDescent="0.25">
      <c r="A44" s="44" t="s">
        <v>37</v>
      </c>
      <c r="B44" s="87" t="s">
        <v>188</v>
      </c>
      <c r="C44" s="34" t="s">
        <v>45</v>
      </c>
      <c r="D44" s="34" t="s">
        <v>44</v>
      </c>
      <c r="E44" s="34" t="s">
        <v>38</v>
      </c>
      <c r="F44" s="34" t="s">
        <v>39</v>
      </c>
      <c r="G44" s="34" t="s">
        <v>43</v>
      </c>
      <c r="H44" s="32"/>
      <c r="I44" s="32"/>
      <c r="J44" s="32"/>
      <c r="K44" s="32"/>
    </row>
    <row r="45" spans="1:11" x14ac:dyDescent="0.25">
      <c r="A45" s="44">
        <v>1</v>
      </c>
      <c r="B45" s="21" t="s">
        <v>49</v>
      </c>
      <c r="C45" s="21"/>
      <c r="D45" s="21"/>
      <c r="E45" s="21"/>
      <c r="F45" s="21">
        <v>14.77</v>
      </c>
      <c r="G45" s="21">
        <v>0.6</v>
      </c>
      <c r="H45" s="32"/>
      <c r="I45" s="32"/>
      <c r="J45" s="32"/>
      <c r="K45" s="32"/>
    </row>
    <row r="46" spans="1:11" x14ac:dyDescent="0.25">
      <c r="A46" s="44">
        <v>2</v>
      </c>
      <c r="B46" s="21" t="s">
        <v>53</v>
      </c>
      <c r="C46" s="21"/>
      <c r="D46" s="21"/>
      <c r="E46" s="21">
        <v>0.4</v>
      </c>
      <c r="F46" s="21"/>
      <c r="G46" s="21">
        <v>0.01</v>
      </c>
      <c r="H46" s="32"/>
      <c r="I46" s="32"/>
      <c r="J46" s="32"/>
      <c r="K46" s="32"/>
    </row>
    <row r="47" spans="1:11" x14ac:dyDescent="0.25">
      <c r="A47" s="44">
        <v>4</v>
      </c>
      <c r="B47" s="42" t="s">
        <v>81</v>
      </c>
      <c r="C47" s="21"/>
      <c r="D47" s="21"/>
      <c r="E47" s="21">
        <v>7.0000000000000007E-2</v>
      </c>
      <c r="F47" s="21">
        <v>0.17</v>
      </c>
      <c r="G47" s="21"/>
      <c r="H47" s="32"/>
      <c r="I47" s="32"/>
      <c r="J47" s="32"/>
      <c r="K47" s="32"/>
    </row>
    <row r="48" spans="1:11" x14ac:dyDescent="0.25">
      <c r="A48" s="44">
        <v>5</v>
      </c>
      <c r="B48" s="42" t="s">
        <v>82</v>
      </c>
      <c r="C48" s="21"/>
      <c r="D48" s="21"/>
      <c r="E48" s="21"/>
      <c r="F48" s="21"/>
      <c r="G48" s="21">
        <v>1.25</v>
      </c>
      <c r="H48" s="32"/>
      <c r="I48" s="32"/>
      <c r="J48" s="32"/>
      <c r="K48" s="32"/>
    </row>
    <row r="49" spans="1:11" x14ac:dyDescent="0.25">
      <c r="A49" s="44">
        <v>6</v>
      </c>
      <c r="B49" s="21" t="s">
        <v>84</v>
      </c>
      <c r="C49" s="21"/>
      <c r="D49" s="21"/>
      <c r="E49" s="21"/>
      <c r="F49" s="21"/>
      <c r="G49" s="21">
        <v>0.06</v>
      </c>
      <c r="H49" s="32"/>
      <c r="I49" s="32"/>
      <c r="J49" s="32"/>
      <c r="K49" s="32"/>
    </row>
    <row r="50" spans="1:11" x14ac:dyDescent="0.25">
      <c r="A50" s="44">
        <v>7</v>
      </c>
      <c r="B50" s="21" t="s">
        <v>85</v>
      </c>
      <c r="C50" s="21"/>
      <c r="D50" s="21"/>
      <c r="E50" s="21"/>
      <c r="F50" s="21"/>
      <c r="G50" s="21">
        <v>0.48</v>
      </c>
      <c r="H50" s="32"/>
      <c r="I50" s="32"/>
      <c r="J50" s="32"/>
      <c r="K50" s="32"/>
    </row>
    <row r="51" spans="1:11" x14ac:dyDescent="0.25">
      <c r="A51" s="44">
        <v>8</v>
      </c>
      <c r="B51" s="21" t="s">
        <v>69</v>
      </c>
      <c r="C51" s="21"/>
      <c r="D51" s="21"/>
      <c r="E51" s="21"/>
      <c r="F51" s="21"/>
      <c r="G51" s="21">
        <v>0.01</v>
      </c>
      <c r="H51" s="32"/>
      <c r="I51" s="32"/>
      <c r="J51" s="32"/>
      <c r="K51" s="32"/>
    </row>
    <row r="52" spans="1:11" x14ac:dyDescent="0.25">
      <c r="A52" s="44">
        <v>11</v>
      </c>
      <c r="B52" s="21" t="s">
        <v>56</v>
      </c>
      <c r="C52" s="21"/>
      <c r="D52" s="21"/>
      <c r="E52" s="21">
        <v>0.1</v>
      </c>
      <c r="F52" s="21"/>
      <c r="G52" s="21">
        <v>0.1</v>
      </c>
      <c r="H52" s="32"/>
      <c r="I52" s="32"/>
      <c r="J52" s="32"/>
      <c r="K52" s="32"/>
    </row>
    <row r="53" spans="1:11" x14ac:dyDescent="0.25">
      <c r="A53" s="154" t="s">
        <v>72</v>
      </c>
      <c r="B53" s="154"/>
      <c r="C53" s="34"/>
      <c r="D53" s="34"/>
      <c r="E53" s="34">
        <f>SUM(E45:E52)</f>
        <v>0.57000000000000006</v>
      </c>
      <c r="F53" s="34">
        <f>SUM(F45:F52)</f>
        <v>14.94</v>
      </c>
      <c r="G53" s="34">
        <f>SUM(G45:G52)</f>
        <v>2.5099999999999998</v>
      </c>
      <c r="H53" s="32"/>
      <c r="I53" s="32"/>
      <c r="J53" s="32"/>
      <c r="K53" s="32"/>
    </row>
    <row r="54" spans="1:11" x14ac:dyDescent="0.25">
      <c r="H54" s="32"/>
      <c r="I54" s="32"/>
      <c r="J54" s="32"/>
      <c r="K54" s="32"/>
    </row>
    <row r="55" spans="1:11" x14ac:dyDescent="0.25">
      <c r="A55" s="4"/>
      <c r="B55" s="26" t="s">
        <v>34</v>
      </c>
      <c r="C55" s="4"/>
      <c r="D55" s="4"/>
      <c r="E55" s="4"/>
      <c r="F55" s="6"/>
      <c r="G55" s="4"/>
      <c r="H55" s="32"/>
      <c r="I55" s="32"/>
      <c r="J55" s="32"/>
      <c r="K55" s="32"/>
    </row>
    <row r="56" spans="1:11" x14ac:dyDescent="0.25">
      <c r="A56" s="1" t="s">
        <v>37</v>
      </c>
      <c r="B56" s="10" t="s">
        <v>0</v>
      </c>
      <c r="C56" s="1" t="s">
        <v>45</v>
      </c>
      <c r="D56" s="1" t="s">
        <v>44</v>
      </c>
      <c r="E56" s="1" t="s">
        <v>38</v>
      </c>
      <c r="F56" s="11" t="s">
        <v>39</v>
      </c>
      <c r="G56" s="1" t="s">
        <v>43</v>
      </c>
      <c r="H56" s="32"/>
      <c r="I56" s="32"/>
      <c r="J56" s="32"/>
      <c r="K56" s="32"/>
    </row>
    <row r="57" spans="1:11" x14ac:dyDescent="0.25">
      <c r="A57" s="5">
        <v>1</v>
      </c>
      <c r="B57" s="5" t="s">
        <v>176</v>
      </c>
      <c r="C57" s="5"/>
      <c r="D57" s="5"/>
      <c r="E57" s="5"/>
      <c r="F57" s="8">
        <v>0.12</v>
      </c>
      <c r="G57" s="5">
        <v>0.06</v>
      </c>
    </row>
  </sheetData>
  <mergeCells count="6">
    <mergeCell ref="A2:G2"/>
    <mergeCell ref="A43:G43"/>
    <mergeCell ref="A53:B53"/>
    <mergeCell ref="F1:G1"/>
    <mergeCell ref="A3:G3"/>
    <mergeCell ref="A4:G4"/>
  </mergeCells>
  <pageMargins left="0.70866141732283472" right="0.35433070866141736" top="0.74803149606299213" bottom="0.74803149606299213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A3" sqref="A3:H3"/>
    </sheetView>
  </sheetViews>
  <sheetFormatPr defaultRowHeight="15" x14ac:dyDescent="0.25"/>
  <cols>
    <col min="1" max="1" width="5.28515625" style="4" customWidth="1"/>
    <col min="2" max="2" width="36.85546875" style="4" customWidth="1"/>
    <col min="3" max="3" width="11.7109375" style="45" customWidth="1"/>
    <col min="4" max="6" width="9.5703125" style="4" bestFit="1" customWidth="1"/>
    <col min="7" max="7" width="9.42578125" style="4" customWidth="1"/>
    <col min="8" max="8" width="9.28515625" style="4" bestFit="1" customWidth="1"/>
    <col min="9" max="9" width="9.140625" style="4"/>
    <col min="10" max="10" width="9.5703125" style="4" bestFit="1" customWidth="1"/>
    <col min="11" max="16384" width="9.140625" style="4"/>
  </cols>
  <sheetData>
    <row r="1" spans="1:10" x14ac:dyDescent="0.25">
      <c r="G1" s="137" t="s">
        <v>214</v>
      </c>
      <c r="H1" s="137"/>
    </row>
    <row r="2" spans="1:10" x14ac:dyDescent="0.25">
      <c r="A2" s="157" t="s">
        <v>98</v>
      </c>
      <c r="B2" s="157"/>
      <c r="C2" s="157"/>
      <c r="D2" s="157"/>
      <c r="E2" s="157"/>
      <c r="F2" s="157"/>
      <c r="G2" s="157"/>
      <c r="H2" s="157"/>
    </row>
    <row r="3" spans="1:10" x14ac:dyDescent="0.25">
      <c r="A3" s="158" t="s">
        <v>219</v>
      </c>
      <c r="B3" s="158"/>
      <c r="C3" s="158"/>
      <c r="D3" s="158"/>
      <c r="E3" s="158"/>
      <c r="F3" s="158"/>
      <c r="G3" s="158"/>
      <c r="H3" s="158"/>
    </row>
    <row r="4" spans="1:10" s="3" customFormat="1" x14ac:dyDescent="0.25">
      <c r="A4" s="1" t="s">
        <v>99</v>
      </c>
      <c r="B4" s="10" t="s">
        <v>0</v>
      </c>
      <c r="C4" s="10" t="s">
        <v>100</v>
      </c>
      <c r="D4" s="1" t="s">
        <v>45</v>
      </c>
      <c r="E4" s="1" t="s">
        <v>44</v>
      </c>
      <c r="F4" s="1" t="s">
        <v>38</v>
      </c>
      <c r="G4" s="1" t="s">
        <v>39</v>
      </c>
      <c r="H4" s="1" t="s">
        <v>43</v>
      </c>
    </row>
    <row r="5" spans="1:10" x14ac:dyDescent="0.25">
      <c r="A5" s="23">
        <v>1</v>
      </c>
      <c r="B5" s="23">
        <v>2</v>
      </c>
      <c r="C5" s="23"/>
      <c r="D5" s="23">
        <v>3</v>
      </c>
      <c r="E5" s="23">
        <v>4</v>
      </c>
      <c r="F5" s="23">
        <v>5</v>
      </c>
      <c r="G5" s="23">
        <v>6</v>
      </c>
      <c r="H5" s="23">
        <v>7</v>
      </c>
    </row>
    <row r="6" spans="1:10" x14ac:dyDescent="0.25">
      <c r="A6" s="5" t="s">
        <v>101</v>
      </c>
      <c r="B6" s="5" t="s">
        <v>102</v>
      </c>
      <c r="C6" s="23"/>
      <c r="D6" s="5"/>
      <c r="E6" s="5"/>
      <c r="F6" s="5"/>
      <c r="G6" s="5"/>
      <c r="H6" s="5"/>
    </row>
    <row r="7" spans="1:10" x14ac:dyDescent="0.25">
      <c r="A7" s="5">
        <v>1</v>
      </c>
      <c r="B7" s="1" t="s">
        <v>103</v>
      </c>
      <c r="C7" s="23"/>
      <c r="D7" s="5"/>
      <c r="E7" s="5"/>
      <c r="F7" s="5"/>
      <c r="G7" s="5"/>
      <c r="H7" s="5"/>
    </row>
    <row r="8" spans="1:10" x14ac:dyDescent="0.25">
      <c r="A8" s="5">
        <v>1.1000000000000001</v>
      </c>
      <c r="B8" s="5" t="s">
        <v>23</v>
      </c>
      <c r="C8" s="23"/>
      <c r="D8" s="8">
        <f>+D85</f>
        <v>6960.68</v>
      </c>
      <c r="E8" s="8">
        <f t="shared" ref="E8:H8" si="0">+E85</f>
        <v>6613.63</v>
      </c>
      <c r="F8" s="8">
        <f t="shared" si="0"/>
        <v>6763.66</v>
      </c>
      <c r="G8" s="8">
        <f t="shared" si="0"/>
        <v>6663.52</v>
      </c>
      <c r="H8" s="8">
        <f t="shared" si="0"/>
        <v>0</v>
      </c>
      <c r="J8" s="6"/>
    </row>
    <row r="9" spans="1:10" x14ac:dyDescent="0.25">
      <c r="A9" s="5">
        <v>1.2</v>
      </c>
      <c r="B9" s="5" t="s">
        <v>24</v>
      </c>
      <c r="C9" s="23"/>
      <c r="D9" s="8">
        <f>+D98</f>
        <v>809.73000000000013</v>
      </c>
      <c r="E9" s="8">
        <f t="shared" ref="E9:H9" si="1">+E98</f>
        <v>1315.53</v>
      </c>
      <c r="F9" s="8">
        <f t="shared" si="1"/>
        <v>1442.9699999999998</v>
      </c>
      <c r="G9" s="8">
        <f t="shared" si="1"/>
        <v>1151.3900000000003</v>
      </c>
      <c r="H9" s="8">
        <f t="shared" si="1"/>
        <v>280.01000000000005</v>
      </c>
    </row>
    <row r="10" spans="1:10" x14ac:dyDescent="0.25">
      <c r="A10" s="5">
        <v>1.3</v>
      </c>
      <c r="B10" s="5" t="s">
        <v>25</v>
      </c>
      <c r="C10" s="23"/>
      <c r="D10" s="5"/>
      <c r="E10" s="5"/>
      <c r="F10" s="5"/>
      <c r="G10" s="5"/>
      <c r="H10" s="5"/>
    </row>
    <row r="11" spans="1:10" x14ac:dyDescent="0.25">
      <c r="A11" s="5">
        <v>1.4</v>
      </c>
      <c r="B11" s="5" t="s">
        <v>26</v>
      </c>
      <c r="C11" s="23"/>
      <c r="D11" s="5"/>
      <c r="E11" s="5"/>
      <c r="F11" s="5"/>
      <c r="G11" s="5"/>
      <c r="H11" s="5"/>
    </row>
    <row r="12" spans="1:10" x14ac:dyDescent="0.25">
      <c r="A12" s="5">
        <v>1.5</v>
      </c>
      <c r="B12" s="5" t="s">
        <v>27</v>
      </c>
      <c r="C12" s="23"/>
      <c r="D12" s="5"/>
      <c r="E12" s="5"/>
      <c r="F12" s="5"/>
      <c r="G12" s="5"/>
      <c r="H12" s="5"/>
    </row>
    <row r="13" spans="1:10" x14ac:dyDescent="0.25">
      <c r="A13" s="5">
        <v>1.6</v>
      </c>
      <c r="B13" s="5" t="s">
        <v>42</v>
      </c>
      <c r="C13" s="23"/>
      <c r="D13" s="5">
        <f>+D83</f>
        <v>332.65</v>
      </c>
      <c r="E13" s="8">
        <f t="shared" ref="E13:G13" si="2">+E83</f>
        <v>206.7</v>
      </c>
      <c r="F13" s="5">
        <f t="shared" si="2"/>
        <v>423.71</v>
      </c>
      <c r="G13" s="5">
        <f t="shared" si="2"/>
        <v>425.22</v>
      </c>
      <c r="H13" s="5"/>
    </row>
    <row r="14" spans="1:10" x14ac:dyDescent="0.25">
      <c r="A14" s="5">
        <v>2</v>
      </c>
      <c r="B14" s="1" t="s">
        <v>21</v>
      </c>
      <c r="C14" s="23"/>
      <c r="D14" s="5"/>
      <c r="E14" s="5"/>
      <c r="F14" s="5"/>
      <c r="G14" s="5"/>
      <c r="H14" s="5"/>
    </row>
    <row r="15" spans="1:10" x14ac:dyDescent="0.25">
      <c r="A15" s="5">
        <v>2.1</v>
      </c>
      <c r="B15" s="5" t="s">
        <v>7</v>
      </c>
      <c r="C15" s="23"/>
      <c r="D15" s="5">
        <v>99.11</v>
      </c>
      <c r="E15" s="5">
        <v>127.51</v>
      </c>
      <c r="F15" s="8">
        <v>179.3</v>
      </c>
      <c r="G15" s="5">
        <v>155.11000000000001</v>
      </c>
      <c r="H15" s="5">
        <v>147.71</v>
      </c>
    </row>
    <row r="16" spans="1:10" x14ac:dyDescent="0.25">
      <c r="A16" s="5">
        <v>2.2000000000000002</v>
      </c>
      <c r="B16" s="13" t="s">
        <v>111</v>
      </c>
      <c r="C16" s="23"/>
      <c r="D16" s="5"/>
      <c r="E16" s="5">
        <v>7.32</v>
      </c>
      <c r="F16" s="5">
        <v>1.83</v>
      </c>
      <c r="G16" s="5">
        <v>20.52</v>
      </c>
      <c r="H16" s="5">
        <v>25.33</v>
      </c>
    </row>
    <row r="17" spans="1:11" x14ac:dyDescent="0.25">
      <c r="A17" s="5">
        <v>2.2999999999999998</v>
      </c>
      <c r="B17" s="5" t="s">
        <v>15</v>
      </c>
      <c r="C17" s="23"/>
      <c r="D17" s="5">
        <v>202.71</v>
      </c>
      <c r="E17" s="5">
        <v>218.9</v>
      </c>
      <c r="F17" s="5">
        <v>320.61</v>
      </c>
      <c r="G17" s="5">
        <v>336.79</v>
      </c>
      <c r="H17" s="5">
        <v>329.69</v>
      </c>
    </row>
    <row r="18" spans="1:11" x14ac:dyDescent="0.25">
      <c r="A18" s="5">
        <v>2.4</v>
      </c>
      <c r="B18" s="5" t="s">
        <v>14</v>
      </c>
      <c r="C18" s="23"/>
      <c r="D18" s="5">
        <v>207.33</v>
      </c>
      <c r="E18" s="5">
        <v>238.05</v>
      </c>
      <c r="F18" s="5">
        <v>292.18</v>
      </c>
      <c r="G18" s="5">
        <v>252.67</v>
      </c>
      <c r="H18" s="5">
        <v>189.34</v>
      </c>
    </row>
    <row r="19" spans="1:11" x14ac:dyDescent="0.25">
      <c r="A19" s="5">
        <v>2.5</v>
      </c>
      <c r="B19" s="5" t="s">
        <v>12</v>
      </c>
      <c r="C19" s="23"/>
      <c r="D19" s="8">
        <v>49.7</v>
      </c>
      <c r="E19" s="5">
        <v>39.43</v>
      </c>
      <c r="F19" s="5">
        <v>114.1</v>
      </c>
      <c r="G19" s="5">
        <v>73.97</v>
      </c>
      <c r="H19" s="8">
        <v>88.8</v>
      </c>
    </row>
    <row r="20" spans="1:11" x14ac:dyDescent="0.25">
      <c r="A20" s="5">
        <v>2.6</v>
      </c>
      <c r="B20" s="5" t="s">
        <v>32</v>
      </c>
      <c r="C20" s="23"/>
      <c r="D20" s="8">
        <f t="shared" ref="D20:F20" si="3">+D65</f>
        <v>1159.55</v>
      </c>
      <c r="E20" s="8">
        <f t="shared" si="3"/>
        <v>2889.2299999999996</v>
      </c>
      <c r="F20" s="8">
        <f t="shared" si="3"/>
        <v>1531.8</v>
      </c>
      <c r="G20" s="8">
        <f>+G65</f>
        <v>1988.4099999999994</v>
      </c>
      <c r="H20" s="8">
        <f>+H65</f>
        <v>1830.6699999999998</v>
      </c>
    </row>
    <row r="21" spans="1:11" x14ac:dyDescent="0.25">
      <c r="A21" s="5"/>
      <c r="B21" s="1" t="s">
        <v>20</v>
      </c>
      <c r="C21" s="23"/>
      <c r="D21" s="5"/>
      <c r="E21" s="5"/>
      <c r="F21" s="5"/>
      <c r="G21" s="5"/>
      <c r="H21" s="5"/>
    </row>
    <row r="22" spans="1:11" x14ac:dyDescent="0.25">
      <c r="A22" s="5">
        <v>3</v>
      </c>
      <c r="B22" s="5" t="s">
        <v>104</v>
      </c>
      <c r="C22" s="23"/>
      <c r="D22" s="5">
        <v>92.95</v>
      </c>
      <c r="E22" s="5">
        <v>105.52</v>
      </c>
      <c r="F22" s="5">
        <v>108.68</v>
      </c>
      <c r="G22" s="5">
        <v>135.88999999999999</v>
      </c>
      <c r="H22" s="5">
        <v>131.22</v>
      </c>
    </row>
    <row r="23" spans="1:11" x14ac:dyDescent="0.25">
      <c r="A23" s="5">
        <v>4</v>
      </c>
      <c r="B23" s="13" t="s">
        <v>18</v>
      </c>
      <c r="C23" s="23"/>
      <c r="D23" s="5"/>
      <c r="E23" s="5"/>
      <c r="F23" s="5"/>
      <c r="G23" s="5"/>
      <c r="H23" s="5"/>
    </row>
    <row r="24" spans="1:11" x14ac:dyDescent="0.25">
      <c r="A24" s="5">
        <v>5</v>
      </c>
      <c r="B24" s="13" t="s">
        <v>29</v>
      </c>
      <c r="C24" s="23"/>
      <c r="D24" s="5"/>
      <c r="E24" s="5"/>
      <c r="F24" s="5"/>
      <c r="G24" s="5"/>
      <c r="H24" s="5"/>
    </row>
    <row r="25" spans="1:11" x14ac:dyDescent="0.25">
      <c r="A25" s="5">
        <v>6</v>
      </c>
      <c r="B25" s="5" t="s">
        <v>32</v>
      </c>
      <c r="C25" s="23"/>
      <c r="D25" s="5"/>
      <c r="E25" s="5"/>
      <c r="F25" s="5"/>
      <c r="G25" s="5"/>
      <c r="H25" s="5"/>
    </row>
    <row r="26" spans="1:11" x14ac:dyDescent="0.25">
      <c r="A26" s="5">
        <v>7</v>
      </c>
      <c r="B26" s="13" t="s">
        <v>105</v>
      </c>
      <c r="C26" s="23"/>
      <c r="D26" s="8">
        <f t="shared" ref="D26:E26" si="4">SUM(D8:D25)</f>
        <v>9914.41</v>
      </c>
      <c r="E26" s="5">
        <f t="shared" si="4"/>
        <v>11761.819999999998</v>
      </c>
      <c r="F26" s="5">
        <f>SUM(F8:F25)</f>
        <v>11178.839999999998</v>
      </c>
      <c r="G26" s="5">
        <f>SUM(G8:G25)</f>
        <v>11203.490000000002</v>
      </c>
      <c r="H26" s="5">
        <f>SUM(H8:H25)</f>
        <v>3022.77</v>
      </c>
    </row>
    <row r="27" spans="1:11" x14ac:dyDescent="0.25">
      <c r="A27" s="5">
        <v>8</v>
      </c>
      <c r="B27" s="5" t="s">
        <v>106</v>
      </c>
      <c r="C27" s="23"/>
      <c r="D27" s="8">
        <f>+D104</f>
        <v>2465.3100000000004</v>
      </c>
      <c r="E27" s="8">
        <f>+E104</f>
        <v>1621.33</v>
      </c>
      <c r="F27" s="8">
        <f>+F104</f>
        <v>969.81000000000006</v>
      </c>
      <c r="G27" s="8">
        <f>+G104</f>
        <v>3162.48</v>
      </c>
      <c r="H27" s="8">
        <f>+H104</f>
        <v>873.13000000000011</v>
      </c>
    </row>
    <row r="28" spans="1:11" x14ac:dyDescent="0.25">
      <c r="A28" s="5">
        <v>9</v>
      </c>
      <c r="B28" s="13" t="s">
        <v>107</v>
      </c>
      <c r="C28" s="23"/>
      <c r="D28" s="8">
        <f t="shared" ref="D28:E28" si="5">+D26-D27</f>
        <v>7449.0999999999995</v>
      </c>
      <c r="E28" s="5">
        <f t="shared" si="5"/>
        <v>10140.489999999998</v>
      </c>
      <c r="F28" s="5">
        <f>+F26-F27</f>
        <v>10209.029999999999</v>
      </c>
      <c r="G28" s="5">
        <f>+G26-G27</f>
        <v>8041.010000000002</v>
      </c>
      <c r="H28" s="5">
        <f>+H26-H27</f>
        <v>2149.64</v>
      </c>
    </row>
    <row r="29" spans="1:11" x14ac:dyDescent="0.25">
      <c r="A29" s="5"/>
      <c r="B29" s="5"/>
      <c r="C29" s="23"/>
      <c r="D29" s="5">
        <v>6657.66</v>
      </c>
      <c r="E29" s="5">
        <v>8846.35</v>
      </c>
      <c r="F29" s="5">
        <v>8784.4900000000016</v>
      </c>
      <c r="G29" s="5">
        <v>6901.52</v>
      </c>
      <c r="H29" s="5">
        <v>1869.6299999999997</v>
      </c>
      <c r="J29" s="6"/>
    </row>
    <row r="30" spans="1:11" x14ac:dyDescent="0.25">
      <c r="A30" s="5" t="s">
        <v>108</v>
      </c>
      <c r="B30" s="5" t="s">
        <v>109</v>
      </c>
      <c r="C30" s="23"/>
      <c r="D30" s="5"/>
      <c r="E30" s="5"/>
      <c r="F30" s="5"/>
      <c r="G30" s="5"/>
      <c r="H30" s="5"/>
    </row>
    <row r="31" spans="1:11" x14ac:dyDescent="0.25">
      <c r="A31" s="5">
        <v>1</v>
      </c>
      <c r="B31" s="5" t="s">
        <v>110</v>
      </c>
      <c r="C31" s="23"/>
      <c r="D31" s="8">
        <f>+D28</f>
        <v>7449.0999999999995</v>
      </c>
      <c r="E31" s="8">
        <f t="shared" ref="E31:H31" si="6">+E28</f>
        <v>10140.489999999998</v>
      </c>
      <c r="F31" s="8">
        <f t="shared" si="6"/>
        <v>10209.029999999999</v>
      </c>
      <c r="G31" s="8">
        <f t="shared" si="6"/>
        <v>8041.010000000002</v>
      </c>
      <c r="H31" s="8">
        <f t="shared" si="6"/>
        <v>2149.64</v>
      </c>
      <c r="K31" s="6"/>
    </row>
    <row r="32" spans="1:11" x14ac:dyDescent="0.25">
      <c r="A32" s="78" t="s">
        <v>158</v>
      </c>
      <c r="C32" s="4"/>
      <c r="F32" s="6"/>
    </row>
    <row r="33" spans="1:11" ht="45" x14ac:dyDescent="0.25">
      <c r="A33" s="73"/>
      <c r="B33" s="74" t="s">
        <v>159</v>
      </c>
      <c r="C33" s="75"/>
      <c r="D33" s="75"/>
      <c r="E33" s="75"/>
      <c r="F33" s="76"/>
      <c r="G33" s="75"/>
      <c r="H33" s="52">
        <v>612.15</v>
      </c>
    </row>
    <row r="34" spans="1:11" x14ac:dyDescent="0.25">
      <c r="A34" s="160" t="s">
        <v>46</v>
      </c>
      <c r="B34" s="143"/>
      <c r="C34" s="143"/>
      <c r="D34" s="143"/>
      <c r="E34" s="143"/>
      <c r="F34" s="143"/>
      <c r="G34" s="143"/>
      <c r="H34" s="143"/>
      <c r="I34" s="143"/>
      <c r="J34" s="143"/>
      <c r="K34" s="26"/>
    </row>
    <row r="35" spans="1:11" s="3" customFormat="1" x14ac:dyDescent="0.25">
      <c r="A35" s="1" t="s">
        <v>99</v>
      </c>
      <c r="B35" s="10" t="s">
        <v>0</v>
      </c>
      <c r="C35" s="10" t="s">
        <v>100</v>
      </c>
      <c r="D35" s="1" t="s">
        <v>45</v>
      </c>
      <c r="E35" s="1" t="s">
        <v>44</v>
      </c>
      <c r="F35" s="1" t="s">
        <v>38</v>
      </c>
      <c r="G35" s="1" t="s">
        <v>39</v>
      </c>
      <c r="H35" s="1" t="s">
        <v>43</v>
      </c>
      <c r="I35" s="27"/>
      <c r="J35" s="28"/>
    </row>
    <row r="36" spans="1:11" x14ac:dyDescent="0.25">
      <c r="A36" s="5">
        <v>1</v>
      </c>
      <c r="B36" s="5" t="s">
        <v>112</v>
      </c>
      <c r="C36" s="25"/>
      <c r="D36" s="8">
        <v>189.28</v>
      </c>
      <c r="E36" s="8">
        <v>183.84</v>
      </c>
      <c r="F36" s="8">
        <v>208.7</v>
      </c>
      <c r="G36" s="8">
        <v>206.9</v>
      </c>
      <c r="H36" s="8">
        <v>176.99</v>
      </c>
      <c r="I36" s="15"/>
      <c r="J36" s="15"/>
    </row>
    <row r="37" spans="1:11" x14ac:dyDescent="0.25">
      <c r="A37" s="5">
        <v>2</v>
      </c>
      <c r="B37" s="5" t="s">
        <v>113</v>
      </c>
      <c r="C37" s="25"/>
      <c r="D37" s="8">
        <v>58.92</v>
      </c>
      <c r="E37" s="8">
        <v>65.22</v>
      </c>
      <c r="F37" s="8">
        <v>57.35</v>
      </c>
      <c r="G37" s="8">
        <v>64.86</v>
      </c>
      <c r="H37" s="8">
        <v>44.73</v>
      </c>
      <c r="I37" s="15"/>
      <c r="J37" s="15"/>
    </row>
    <row r="38" spans="1:11" x14ac:dyDescent="0.25">
      <c r="A38" s="5">
        <v>3</v>
      </c>
      <c r="B38" s="5" t="s">
        <v>114</v>
      </c>
      <c r="C38" s="25"/>
      <c r="D38" s="8">
        <v>5.5</v>
      </c>
      <c r="E38" s="8">
        <v>5.29</v>
      </c>
      <c r="F38" s="8">
        <v>4.1399999999999997</v>
      </c>
      <c r="G38" s="8">
        <v>5.49</v>
      </c>
      <c r="H38" s="8">
        <v>7.31</v>
      </c>
      <c r="I38" s="15"/>
      <c r="J38" s="15"/>
    </row>
    <row r="39" spans="1:11" x14ac:dyDescent="0.25">
      <c r="A39" s="5">
        <v>4</v>
      </c>
      <c r="B39" s="5" t="s">
        <v>115</v>
      </c>
      <c r="C39" s="25"/>
      <c r="D39" s="8"/>
      <c r="E39" s="8"/>
      <c r="F39" s="8"/>
      <c r="G39" s="8"/>
      <c r="H39" s="8">
        <v>389.67</v>
      </c>
      <c r="I39" s="15"/>
      <c r="J39" s="15"/>
    </row>
    <row r="40" spans="1:11" x14ac:dyDescent="0.25">
      <c r="A40" s="5">
        <v>5</v>
      </c>
      <c r="B40" s="5" t="s">
        <v>116</v>
      </c>
      <c r="C40" s="25"/>
      <c r="D40" s="8">
        <v>1.27</v>
      </c>
      <c r="E40" s="8">
        <v>1.27</v>
      </c>
      <c r="F40" s="8">
        <v>1.41</v>
      </c>
      <c r="G40" s="8"/>
      <c r="H40" s="8"/>
      <c r="I40" s="15"/>
      <c r="J40" s="15"/>
    </row>
    <row r="41" spans="1:11" x14ac:dyDescent="0.25">
      <c r="A41" s="5">
        <v>6</v>
      </c>
      <c r="B41" s="5" t="s">
        <v>117</v>
      </c>
      <c r="C41" s="25"/>
      <c r="D41" s="8">
        <v>0.71</v>
      </c>
      <c r="E41" s="8">
        <v>0.5</v>
      </c>
      <c r="F41" s="8">
        <v>0.3</v>
      </c>
      <c r="G41" s="8">
        <v>0.01</v>
      </c>
      <c r="H41" s="8">
        <v>4.54</v>
      </c>
      <c r="I41" s="15"/>
      <c r="J41" s="15"/>
    </row>
    <row r="42" spans="1:11" x14ac:dyDescent="0.25">
      <c r="A42" s="5">
        <v>7</v>
      </c>
      <c r="B42" s="5" t="s">
        <v>118</v>
      </c>
      <c r="C42" s="25"/>
      <c r="D42" s="8">
        <v>47.81</v>
      </c>
      <c r="E42" s="8">
        <v>50.31</v>
      </c>
      <c r="F42" s="8">
        <v>57.37</v>
      </c>
      <c r="G42" s="8">
        <v>78.06</v>
      </c>
      <c r="H42" s="8">
        <v>76.41</v>
      </c>
      <c r="I42" s="15"/>
      <c r="J42" s="15"/>
    </row>
    <row r="43" spans="1:11" x14ac:dyDescent="0.25">
      <c r="A43" s="5">
        <v>8</v>
      </c>
      <c r="B43" s="13" t="s">
        <v>119</v>
      </c>
      <c r="C43" s="25"/>
      <c r="D43" s="8">
        <v>1.08</v>
      </c>
      <c r="E43" s="8">
        <v>24.15</v>
      </c>
      <c r="F43" s="8">
        <v>6.48</v>
      </c>
      <c r="G43" s="8">
        <v>20</v>
      </c>
      <c r="H43" s="8">
        <v>0.56000000000000005</v>
      </c>
      <c r="I43" s="15"/>
      <c r="J43" s="15"/>
    </row>
    <row r="44" spans="1:11" x14ac:dyDescent="0.25">
      <c r="A44" s="5">
        <v>9</v>
      </c>
      <c r="B44" s="13" t="s">
        <v>120</v>
      </c>
      <c r="C44" s="25"/>
      <c r="D44" s="8">
        <v>100.80000000000001</v>
      </c>
      <c r="E44" s="8">
        <v>92.49</v>
      </c>
      <c r="F44" s="8">
        <v>94.18</v>
      </c>
      <c r="G44" s="8">
        <v>82.84</v>
      </c>
      <c r="H44" s="8">
        <v>102.33</v>
      </c>
      <c r="I44" s="15"/>
      <c r="J44" s="15"/>
    </row>
    <row r="45" spans="1:11" x14ac:dyDescent="0.25">
      <c r="A45" s="5">
        <v>10</v>
      </c>
      <c r="B45" s="5" t="s">
        <v>121</v>
      </c>
      <c r="C45" s="25"/>
      <c r="D45" s="8">
        <v>10.119999999999999</v>
      </c>
      <c r="E45" s="8">
        <v>22.01</v>
      </c>
      <c r="F45" s="8">
        <v>96.64</v>
      </c>
      <c r="G45" s="8">
        <v>114.39</v>
      </c>
      <c r="H45" s="8">
        <v>254.96</v>
      </c>
      <c r="I45" s="15"/>
      <c r="J45" s="15"/>
    </row>
    <row r="46" spans="1:11" x14ac:dyDescent="0.25">
      <c r="A46" s="5">
        <v>11</v>
      </c>
      <c r="B46" s="5" t="s">
        <v>122</v>
      </c>
      <c r="C46" s="25"/>
      <c r="D46" s="8">
        <v>14.62</v>
      </c>
      <c r="E46" s="8">
        <v>4.5</v>
      </c>
      <c r="F46" s="8">
        <v>7.08</v>
      </c>
      <c r="G46" s="8">
        <v>1.91</v>
      </c>
      <c r="H46" s="8">
        <v>1.77</v>
      </c>
      <c r="I46" s="15"/>
      <c r="J46" s="15"/>
    </row>
    <row r="47" spans="1:11" x14ac:dyDescent="0.25">
      <c r="A47" s="5">
        <v>12</v>
      </c>
      <c r="B47" s="5" t="s">
        <v>123</v>
      </c>
      <c r="C47" s="25"/>
      <c r="D47" s="8">
        <v>106.1</v>
      </c>
      <c r="E47" s="8">
        <v>170.69</v>
      </c>
      <c r="F47" s="8">
        <v>147.88999999999999</v>
      </c>
      <c r="G47" s="8">
        <v>178.53</v>
      </c>
      <c r="H47" s="8">
        <v>117.35</v>
      </c>
      <c r="I47" s="15"/>
      <c r="J47" s="15"/>
    </row>
    <row r="48" spans="1:11" x14ac:dyDescent="0.25">
      <c r="A48" s="5">
        <v>13</v>
      </c>
      <c r="B48" s="5" t="s">
        <v>124</v>
      </c>
      <c r="C48" s="25"/>
      <c r="D48" s="8">
        <v>20.45</v>
      </c>
      <c r="E48" s="8">
        <v>42.01</v>
      </c>
      <c r="F48" s="8">
        <v>44.33</v>
      </c>
      <c r="G48" s="8">
        <v>41.93</v>
      </c>
      <c r="H48" s="8">
        <v>52.39</v>
      </c>
      <c r="I48" s="15"/>
      <c r="J48" s="15"/>
    </row>
    <row r="49" spans="1:10" x14ac:dyDescent="0.25">
      <c r="A49" s="5">
        <v>14</v>
      </c>
      <c r="B49" s="5" t="s">
        <v>125</v>
      </c>
      <c r="C49" s="25"/>
      <c r="D49" s="8">
        <v>0.66</v>
      </c>
      <c r="E49" s="8">
        <v>0.52</v>
      </c>
      <c r="F49" s="8">
        <v>0.52</v>
      </c>
      <c r="G49" s="8">
        <v>1.65</v>
      </c>
      <c r="H49" s="8">
        <v>1.56</v>
      </c>
      <c r="I49" s="15"/>
      <c r="J49" s="15"/>
    </row>
    <row r="50" spans="1:10" x14ac:dyDescent="0.25">
      <c r="A50" s="5">
        <v>15</v>
      </c>
      <c r="B50" s="5" t="s">
        <v>126</v>
      </c>
      <c r="C50" s="25"/>
      <c r="D50" s="8">
        <v>0</v>
      </c>
      <c r="E50" s="8">
        <v>0</v>
      </c>
      <c r="F50" s="8">
        <v>22.57</v>
      </c>
      <c r="G50" s="8">
        <v>1.17</v>
      </c>
      <c r="H50" s="8"/>
      <c r="I50" s="15"/>
      <c r="J50" s="15"/>
    </row>
    <row r="51" spans="1:10" x14ac:dyDescent="0.25">
      <c r="A51" s="5">
        <v>16</v>
      </c>
      <c r="B51" s="5" t="s">
        <v>127</v>
      </c>
      <c r="C51" s="25"/>
      <c r="D51" s="8">
        <v>42.24</v>
      </c>
      <c r="E51" s="8">
        <v>101.46</v>
      </c>
      <c r="F51" s="8">
        <v>195.06</v>
      </c>
      <c r="G51" s="8">
        <v>187.4</v>
      </c>
      <c r="H51" s="8">
        <v>167.52</v>
      </c>
      <c r="I51" s="15"/>
      <c r="J51" s="15"/>
    </row>
    <row r="52" spans="1:10" x14ac:dyDescent="0.25">
      <c r="A52" s="5">
        <v>17</v>
      </c>
      <c r="B52" s="5" t="s">
        <v>128</v>
      </c>
      <c r="C52" s="25"/>
      <c r="D52" s="8">
        <v>2.66</v>
      </c>
      <c r="E52" s="8">
        <v>9.61</v>
      </c>
      <c r="F52" s="8">
        <v>2.5</v>
      </c>
      <c r="G52" s="8">
        <v>1.28</v>
      </c>
      <c r="H52" s="8">
        <v>7.19</v>
      </c>
      <c r="I52" s="15"/>
      <c r="J52" s="15"/>
    </row>
    <row r="53" spans="1:10" x14ac:dyDescent="0.25">
      <c r="A53" s="5">
        <v>18</v>
      </c>
      <c r="B53" s="5" t="s">
        <v>52</v>
      </c>
      <c r="C53" s="25"/>
      <c r="D53" s="8">
        <v>3.18</v>
      </c>
      <c r="E53" s="8">
        <v>4.79</v>
      </c>
      <c r="F53" s="8">
        <v>6.29</v>
      </c>
      <c r="G53" s="8">
        <v>4.3099999999999996</v>
      </c>
      <c r="H53" s="8">
        <v>4.37</v>
      </c>
      <c r="I53" s="15"/>
      <c r="J53" s="15"/>
    </row>
    <row r="54" spans="1:10" x14ac:dyDescent="0.25">
      <c r="A54" s="5">
        <v>19</v>
      </c>
      <c r="B54" s="13" t="s">
        <v>129</v>
      </c>
      <c r="C54" s="25"/>
      <c r="D54" s="8">
        <v>17.53</v>
      </c>
      <c r="E54" s="8">
        <v>21.52</v>
      </c>
      <c r="F54" s="8">
        <v>22.63</v>
      </c>
      <c r="G54" s="8">
        <v>20.46</v>
      </c>
      <c r="H54" s="12">
        <v>16.510000000000002</v>
      </c>
      <c r="I54" s="15"/>
      <c r="J54" s="15"/>
    </row>
    <row r="55" spans="1:10" x14ac:dyDescent="0.25">
      <c r="A55" s="5">
        <v>20</v>
      </c>
      <c r="B55" s="13" t="s">
        <v>67</v>
      </c>
      <c r="C55" s="54"/>
      <c r="D55" s="16">
        <v>36.49</v>
      </c>
      <c r="E55" s="16">
        <v>10.86</v>
      </c>
      <c r="F55" s="16">
        <v>2.68</v>
      </c>
      <c r="G55" s="16">
        <v>4.62</v>
      </c>
      <c r="H55" s="16">
        <v>11.98</v>
      </c>
      <c r="I55" s="29"/>
      <c r="J55" s="29"/>
    </row>
    <row r="56" spans="1:10" x14ac:dyDescent="0.25">
      <c r="A56" s="5">
        <v>21</v>
      </c>
      <c r="B56" s="13" t="s">
        <v>130</v>
      </c>
      <c r="C56" s="23"/>
      <c r="D56" s="12">
        <v>21.2</v>
      </c>
      <c r="E56" s="12">
        <v>4.5</v>
      </c>
      <c r="F56" s="12">
        <v>14.06</v>
      </c>
      <c r="G56" s="12">
        <v>10.35</v>
      </c>
      <c r="H56" s="12">
        <v>12.25</v>
      </c>
    </row>
    <row r="57" spans="1:10" x14ac:dyDescent="0.25">
      <c r="A57" s="5">
        <v>22</v>
      </c>
      <c r="B57" s="13" t="s">
        <v>131</v>
      </c>
      <c r="C57" s="23"/>
      <c r="D57" s="12">
        <v>0.2</v>
      </c>
      <c r="E57" s="12">
        <v>0.18</v>
      </c>
      <c r="F57" s="8"/>
      <c r="G57" s="12">
        <v>0.01</v>
      </c>
      <c r="H57" s="12">
        <v>0.04</v>
      </c>
    </row>
    <row r="58" spans="1:10" x14ac:dyDescent="0.25">
      <c r="A58" s="5">
        <v>23</v>
      </c>
      <c r="B58" s="13" t="s">
        <v>132</v>
      </c>
      <c r="C58" s="23"/>
      <c r="D58" s="12">
        <v>59.53</v>
      </c>
      <c r="E58" s="12">
        <v>89.38</v>
      </c>
      <c r="F58" s="12">
        <v>84.61</v>
      </c>
      <c r="G58" s="12">
        <v>131.28</v>
      </c>
      <c r="H58" s="12">
        <v>20.95</v>
      </c>
    </row>
    <row r="59" spans="1:10" x14ac:dyDescent="0.25">
      <c r="A59" s="5">
        <v>24</v>
      </c>
      <c r="B59" s="13" t="s">
        <v>133</v>
      </c>
      <c r="C59" s="23"/>
      <c r="D59" s="12">
        <v>142.32</v>
      </c>
      <c r="E59" s="12">
        <v>232.54</v>
      </c>
      <c r="F59" s="12">
        <v>147.02000000000001</v>
      </c>
      <c r="G59" s="12">
        <v>431.01</v>
      </c>
      <c r="H59" s="12">
        <v>339.45</v>
      </c>
    </row>
    <row r="60" spans="1:10" x14ac:dyDescent="0.25">
      <c r="A60" s="5">
        <v>25</v>
      </c>
      <c r="B60" s="13" t="s">
        <v>134</v>
      </c>
      <c r="C60" s="23"/>
      <c r="D60" s="12">
        <v>28.06</v>
      </c>
      <c r="E60" s="12">
        <v>62.62</v>
      </c>
      <c r="F60" s="12">
        <v>41.86</v>
      </c>
      <c r="G60" s="12">
        <v>24.37</v>
      </c>
      <c r="H60" s="12">
        <v>19.84</v>
      </c>
    </row>
    <row r="61" spans="1:10" x14ac:dyDescent="0.25">
      <c r="A61" s="5">
        <v>26</v>
      </c>
      <c r="B61" s="13" t="s">
        <v>135</v>
      </c>
      <c r="C61" s="23"/>
      <c r="D61" s="12">
        <v>185.81</v>
      </c>
      <c r="E61" s="12">
        <v>174.15</v>
      </c>
      <c r="F61" s="12">
        <v>207.49</v>
      </c>
      <c r="G61" s="12">
        <v>286.26</v>
      </c>
      <c r="H61" s="8"/>
    </row>
    <row r="62" spans="1:10" x14ac:dyDescent="0.25">
      <c r="A62" s="5">
        <v>27</v>
      </c>
      <c r="B62" s="13" t="s">
        <v>136</v>
      </c>
      <c r="C62" s="23"/>
      <c r="D62" s="12">
        <v>62.76</v>
      </c>
      <c r="E62" s="12">
        <v>1514.37</v>
      </c>
      <c r="F62" s="12">
        <v>58.25</v>
      </c>
      <c r="G62" s="8"/>
      <c r="H62" s="8"/>
    </row>
    <row r="63" spans="1:10" x14ac:dyDescent="0.25">
      <c r="A63" s="5">
        <v>28</v>
      </c>
      <c r="B63" s="13" t="s">
        <v>137</v>
      </c>
      <c r="C63" s="23"/>
      <c r="D63" s="8"/>
      <c r="E63" s="8"/>
      <c r="F63" s="8"/>
      <c r="G63" s="12">
        <v>89.32</v>
      </c>
      <c r="H63" s="8"/>
    </row>
    <row r="64" spans="1:10" x14ac:dyDescent="0.25">
      <c r="A64" s="5">
        <v>29</v>
      </c>
      <c r="B64" s="13" t="s">
        <v>54</v>
      </c>
      <c r="C64" s="23"/>
      <c r="D64" s="12">
        <v>0.25</v>
      </c>
      <c r="E64" s="12">
        <v>0.45</v>
      </c>
      <c r="F64" s="12">
        <v>0.39</v>
      </c>
      <c r="G64" s="12"/>
      <c r="H64" s="8"/>
    </row>
    <row r="65" spans="1:8" x14ac:dyDescent="0.25">
      <c r="A65" s="141" t="s">
        <v>72</v>
      </c>
      <c r="B65" s="142"/>
      <c r="C65" s="23"/>
      <c r="D65" s="8">
        <f>SUM(D36:D64)</f>
        <v>1159.55</v>
      </c>
      <c r="E65" s="8">
        <f>SUM(E36:E64)</f>
        <v>2889.2299999999996</v>
      </c>
      <c r="F65" s="8">
        <f>SUM(F36:F64)</f>
        <v>1531.8</v>
      </c>
      <c r="G65" s="8">
        <f>SUM(G36:G64)</f>
        <v>1988.4099999999994</v>
      </c>
      <c r="H65" s="8">
        <f>SUM(H36:H64)</f>
        <v>1830.6699999999998</v>
      </c>
    </row>
    <row r="67" spans="1:8" x14ac:dyDescent="0.25">
      <c r="A67" s="162" t="s">
        <v>144</v>
      </c>
      <c r="B67" s="162"/>
    </row>
    <row r="68" spans="1:8" s="3" customFormat="1" x14ac:dyDescent="0.25">
      <c r="A68" s="1" t="s">
        <v>99</v>
      </c>
      <c r="B68" s="10" t="s">
        <v>0</v>
      </c>
      <c r="C68" s="10" t="s">
        <v>100</v>
      </c>
      <c r="D68" s="1" t="s">
        <v>45</v>
      </c>
      <c r="E68" s="1" t="s">
        <v>44</v>
      </c>
      <c r="F68" s="1" t="s">
        <v>38</v>
      </c>
      <c r="G68" s="1" t="s">
        <v>39</v>
      </c>
      <c r="H68" s="1" t="s">
        <v>43</v>
      </c>
    </row>
    <row r="69" spans="1:8" ht="18.75" customHeight="1" x14ac:dyDescent="0.25">
      <c r="A69" s="5"/>
      <c r="B69" s="52" t="s">
        <v>1</v>
      </c>
      <c r="C69" s="55" t="s">
        <v>145</v>
      </c>
      <c r="D69" s="5">
        <f>ROUND($D$31/4690*924,2)</f>
        <v>1467.58</v>
      </c>
      <c r="E69" s="5">
        <f>ROUND($E$31/4568*973,2)</f>
        <v>2159.96</v>
      </c>
      <c r="F69" s="5">
        <f>ROUND($F$31/4356*717,2)</f>
        <v>1680.41</v>
      </c>
      <c r="G69" s="5">
        <f>ROUND($G$31/5220*957,2)</f>
        <v>1474.19</v>
      </c>
      <c r="H69" s="5">
        <f>ROUND($H$31/5472*1287,2)</f>
        <v>505.59</v>
      </c>
    </row>
    <row r="70" spans="1:8" x14ac:dyDescent="0.25">
      <c r="A70" s="5"/>
      <c r="B70" s="52" t="s">
        <v>2</v>
      </c>
      <c r="C70" s="55" t="s">
        <v>145</v>
      </c>
      <c r="D70" s="5">
        <f>ROUND($D$31/4690*213,2)</f>
        <v>338.31</v>
      </c>
      <c r="E70" s="5">
        <f>ROUND($E$31/4568*246,2)</f>
        <v>546.09</v>
      </c>
      <c r="F70" s="5">
        <f>ROUND($F$31/4356*165,2)</f>
        <v>386.71</v>
      </c>
      <c r="G70" s="5">
        <f>ROUND($G$31/5220*163,2)</f>
        <v>251.09</v>
      </c>
      <c r="H70" s="5">
        <f>ROUND($H$31/5472*259,2)</f>
        <v>101.75</v>
      </c>
    </row>
    <row r="71" spans="1:8" x14ac:dyDescent="0.25">
      <c r="A71" s="5"/>
      <c r="B71" s="52" t="s">
        <v>3</v>
      </c>
      <c r="C71" s="55" t="s">
        <v>145</v>
      </c>
      <c r="D71" s="5">
        <f>ROUND($D$31/4690*1240,2)</f>
        <v>1969.48</v>
      </c>
      <c r="E71" s="5">
        <f>ROUND($E$31/4568*981,2)</f>
        <v>2177.7199999999998</v>
      </c>
      <c r="F71" s="5">
        <f>ROUND($F$31/4356*1110,2)</f>
        <v>2601.4699999999998</v>
      </c>
      <c r="G71" s="5">
        <f>ROUND($G$31/5220*1337,2)</f>
        <v>2059.5500000000002</v>
      </c>
      <c r="H71" s="5">
        <f>ROUND($H$31/5472*1249,2)</f>
        <v>490.66</v>
      </c>
    </row>
    <row r="72" spans="1:8" x14ac:dyDescent="0.25">
      <c r="A72" s="5"/>
      <c r="B72" s="52" t="s">
        <v>4</v>
      </c>
      <c r="C72" s="55" t="s">
        <v>145</v>
      </c>
      <c r="D72" s="5">
        <f>ROUND($D$31/4690*1680,2)+0.01</f>
        <v>2668.34</v>
      </c>
      <c r="E72" s="5">
        <f>ROUND($E$31/4568*1726,2)+0.01</f>
        <v>3831.55</v>
      </c>
      <c r="F72" s="5">
        <f>ROUND($F$31/4356*1741,2)+0.01</f>
        <v>4080.34</v>
      </c>
      <c r="G72" s="8">
        <f>ROUND($G$31/5220*1759,2)</f>
        <v>2709.6</v>
      </c>
      <c r="H72" s="5">
        <f>ROUND($H$31/5472*1573,2)</f>
        <v>617.94000000000005</v>
      </c>
    </row>
    <row r="73" spans="1:8" x14ac:dyDescent="0.25">
      <c r="A73" s="5"/>
      <c r="B73" s="52" t="s">
        <v>142</v>
      </c>
      <c r="C73" s="55" t="s">
        <v>145</v>
      </c>
      <c r="D73" s="5">
        <f>ROUND($D$31/4690*633,2)</f>
        <v>1005.39</v>
      </c>
      <c r="E73" s="5">
        <f>ROUND($E$31/4568*642,2)</f>
        <v>1425.17</v>
      </c>
      <c r="F73" s="5">
        <f>ROUND($F$31/4356*622,2)</f>
        <v>1457.76</v>
      </c>
      <c r="G73" s="5">
        <f>ROUND($G$31/5220*871,2)</f>
        <v>1341.71</v>
      </c>
      <c r="H73" s="5">
        <f>ROUND($H$31/5472*915,2)</f>
        <v>359.45</v>
      </c>
    </row>
    <row r="74" spans="1:8" x14ac:dyDescent="0.25">
      <c r="A74" s="5"/>
      <c r="B74" s="52" t="s">
        <v>40</v>
      </c>
      <c r="C74" s="55" t="s">
        <v>145</v>
      </c>
      <c r="D74" s="5"/>
      <c r="E74" s="5"/>
      <c r="F74" s="5"/>
      <c r="G74" s="5">
        <f>ROUND($G$31/5220*127,2)</f>
        <v>195.63</v>
      </c>
      <c r="H74" s="8">
        <f>ROUND($H$31/5472*182,2)</f>
        <v>71.5</v>
      </c>
    </row>
    <row r="75" spans="1:8" x14ac:dyDescent="0.25">
      <c r="A75" s="5"/>
      <c r="B75" s="52" t="s">
        <v>5</v>
      </c>
      <c r="C75" s="55" t="s">
        <v>145</v>
      </c>
      <c r="D75" s="5"/>
      <c r="E75" s="5"/>
      <c r="F75" s="5">
        <f>ROUND($F$31/4356*1,2)</f>
        <v>2.34</v>
      </c>
      <c r="G75" s="5">
        <f>ROUND($G$31/5220*6,2)</f>
        <v>9.24</v>
      </c>
      <c r="H75" s="5">
        <f>ROUND($H$31/5472*7,2)</f>
        <v>2.75</v>
      </c>
    </row>
    <row r="76" spans="1:8" x14ac:dyDescent="0.25">
      <c r="A76" s="139" t="s">
        <v>143</v>
      </c>
      <c r="B76" s="140"/>
      <c r="C76" s="10"/>
      <c r="D76" s="11">
        <f>SUM(D69:D75)</f>
        <v>7449.1</v>
      </c>
      <c r="E76" s="11">
        <f>SUM(E69:E75)</f>
        <v>10140.49</v>
      </c>
      <c r="F76" s="11">
        <f>SUM(F69:F75)</f>
        <v>10209.030000000001</v>
      </c>
      <c r="G76" s="11">
        <f>SUM(G69:G75)</f>
        <v>8041.01</v>
      </c>
      <c r="H76" s="11">
        <f>SUM(H69:H75)</f>
        <v>2149.64</v>
      </c>
    </row>
    <row r="78" spans="1:8" x14ac:dyDescent="0.25">
      <c r="A78" s="161" t="s">
        <v>146</v>
      </c>
      <c r="B78" s="161"/>
      <c r="C78" s="53"/>
      <c r="D78" s="50"/>
      <c r="E78" s="50"/>
      <c r="F78" s="50"/>
      <c r="G78" s="50"/>
      <c r="H78" s="51"/>
    </row>
    <row r="79" spans="1:8" x14ac:dyDescent="0.25">
      <c r="A79" s="1" t="s">
        <v>99</v>
      </c>
      <c r="B79" s="10" t="s">
        <v>0</v>
      </c>
      <c r="C79" s="10" t="s">
        <v>100</v>
      </c>
      <c r="D79" s="1" t="s">
        <v>45</v>
      </c>
      <c r="E79" s="1" t="s">
        <v>44</v>
      </c>
      <c r="F79" s="1" t="s">
        <v>38</v>
      </c>
      <c r="G79" s="1" t="s">
        <v>39</v>
      </c>
      <c r="H79" s="1" t="s">
        <v>43</v>
      </c>
    </row>
    <row r="80" spans="1:8" x14ac:dyDescent="0.25">
      <c r="A80" s="5">
        <v>1</v>
      </c>
      <c r="B80" s="46" t="s">
        <v>147</v>
      </c>
      <c r="C80" s="56" t="s">
        <v>157</v>
      </c>
      <c r="D80" s="16">
        <v>5651.36</v>
      </c>
      <c r="E80" s="16">
        <v>5476.58</v>
      </c>
      <c r="F80" s="18">
        <v>5518.79</v>
      </c>
      <c r="G80" s="18">
        <f>5651.61+10.23</f>
        <v>5661.8399999999992</v>
      </c>
      <c r="H80" s="18"/>
    </row>
    <row r="81" spans="1:10" ht="30" x14ac:dyDescent="0.25">
      <c r="A81" s="5">
        <v>2</v>
      </c>
      <c r="B81" s="47" t="s">
        <v>148</v>
      </c>
      <c r="C81" s="56" t="s">
        <v>157</v>
      </c>
      <c r="D81" s="16">
        <f>7311.62-D80</f>
        <v>1660.2600000000002</v>
      </c>
      <c r="E81" s="16">
        <f>6841.72-E80</f>
        <v>1365.1400000000003</v>
      </c>
      <c r="F81" s="16">
        <f>7205.8-F80</f>
        <v>1687.0100000000002</v>
      </c>
      <c r="G81" s="16">
        <f>7100.64-G80</f>
        <v>1438.8000000000011</v>
      </c>
      <c r="H81" s="18">
        <v>0</v>
      </c>
      <c r="J81" s="6"/>
    </row>
    <row r="82" spans="1:10" x14ac:dyDescent="0.25">
      <c r="A82" s="163" t="s">
        <v>149</v>
      </c>
      <c r="B82" s="164"/>
      <c r="C82" s="56"/>
      <c r="D82" s="16">
        <f t="shared" ref="D82:H82" si="7">SUM(D80:D81)</f>
        <v>7311.62</v>
      </c>
      <c r="E82" s="16">
        <f t="shared" si="7"/>
        <v>6841.72</v>
      </c>
      <c r="F82" s="16">
        <f t="shared" si="7"/>
        <v>7205.8</v>
      </c>
      <c r="G82" s="18">
        <f t="shared" si="7"/>
        <v>7100.64</v>
      </c>
      <c r="H82" s="18">
        <f t="shared" si="7"/>
        <v>0</v>
      </c>
      <c r="J82" s="48"/>
    </row>
    <row r="83" spans="1:10" x14ac:dyDescent="0.25">
      <c r="A83" s="5">
        <v>3</v>
      </c>
      <c r="B83" s="18" t="s">
        <v>150</v>
      </c>
      <c r="C83" s="56" t="s">
        <v>157</v>
      </c>
      <c r="D83" s="18">
        <v>332.65</v>
      </c>
      <c r="E83" s="16">
        <v>206.7</v>
      </c>
      <c r="F83" s="18">
        <v>423.71</v>
      </c>
      <c r="G83" s="18">
        <v>425.22</v>
      </c>
      <c r="H83" s="16"/>
    </row>
    <row r="84" spans="1:10" x14ac:dyDescent="0.25">
      <c r="A84" s="5">
        <v>4</v>
      </c>
      <c r="B84" s="18" t="s">
        <v>153</v>
      </c>
      <c r="C84" s="56" t="s">
        <v>157</v>
      </c>
      <c r="D84" s="16">
        <f>+D95+D96</f>
        <v>18.29</v>
      </c>
      <c r="E84" s="16">
        <f>+E95+E96</f>
        <v>21.39</v>
      </c>
      <c r="F84" s="16">
        <f>+F95+F96</f>
        <v>18.43</v>
      </c>
      <c r="G84" s="16">
        <f>+G96+G97</f>
        <v>11.9</v>
      </c>
      <c r="H84" s="16"/>
    </row>
    <row r="85" spans="1:10" x14ac:dyDescent="0.25">
      <c r="A85" s="141" t="s">
        <v>151</v>
      </c>
      <c r="B85" s="142"/>
      <c r="C85" s="57"/>
      <c r="D85" s="16">
        <f>D82-D83-D84</f>
        <v>6960.68</v>
      </c>
      <c r="E85" s="16">
        <f>E82-E83-E84</f>
        <v>6613.63</v>
      </c>
      <c r="F85" s="16">
        <f>F82-F83-F84</f>
        <v>6763.66</v>
      </c>
      <c r="G85" s="16">
        <f>G82-G83-G84</f>
        <v>6663.52</v>
      </c>
      <c r="H85" s="18">
        <f>H82-H83</f>
        <v>0</v>
      </c>
    </row>
    <row r="87" spans="1:10" x14ac:dyDescent="0.25">
      <c r="A87" s="143" t="s">
        <v>86</v>
      </c>
      <c r="B87" s="143"/>
      <c r="C87" s="143"/>
      <c r="D87" s="143"/>
      <c r="E87" s="143"/>
      <c r="F87" s="143"/>
      <c r="G87" s="143"/>
    </row>
    <row r="88" spans="1:10" s="3" customFormat="1" x14ac:dyDescent="0.25">
      <c r="A88" s="1" t="s">
        <v>37</v>
      </c>
      <c r="B88" s="10" t="s">
        <v>0</v>
      </c>
      <c r="C88" s="10" t="s">
        <v>156</v>
      </c>
      <c r="D88" s="1" t="s">
        <v>45</v>
      </c>
      <c r="E88" s="1" t="s">
        <v>44</v>
      </c>
      <c r="F88" s="1" t="s">
        <v>38</v>
      </c>
      <c r="G88" s="11" t="s">
        <v>39</v>
      </c>
      <c r="H88" s="1" t="s">
        <v>43</v>
      </c>
    </row>
    <row r="89" spans="1:10" x14ac:dyDescent="0.25">
      <c r="A89" s="5">
        <v>1</v>
      </c>
      <c r="B89" s="5" t="s">
        <v>73</v>
      </c>
      <c r="C89" s="56" t="s">
        <v>157</v>
      </c>
      <c r="D89" s="8">
        <v>490.7</v>
      </c>
      <c r="E89" s="8">
        <v>278.3</v>
      </c>
      <c r="F89" s="8">
        <v>651.74</v>
      </c>
      <c r="G89" s="8">
        <v>346.87</v>
      </c>
      <c r="H89" s="8"/>
    </row>
    <row r="90" spans="1:10" x14ac:dyDescent="0.25">
      <c r="A90" s="5">
        <v>2</v>
      </c>
      <c r="B90" s="5" t="s">
        <v>74</v>
      </c>
      <c r="C90" s="56" t="s">
        <v>157</v>
      </c>
      <c r="D90" s="8">
        <v>238.27</v>
      </c>
      <c r="E90" s="8">
        <v>996.44</v>
      </c>
      <c r="F90" s="8">
        <v>727.42</v>
      </c>
      <c r="G90" s="8">
        <v>734.57</v>
      </c>
      <c r="H90" s="8">
        <v>244.65</v>
      </c>
    </row>
    <row r="91" spans="1:10" x14ac:dyDescent="0.25">
      <c r="A91" s="5">
        <v>3</v>
      </c>
      <c r="B91" s="5" t="s">
        <v>75</v>
      </c>
      <c r="C91" s="56" t="s">
        <v>157</v>
      </c>
      <c r="D91" s="16">
        <v>4.26</v>
      </c>
      <c r="E91" s="8">
        <v>1.64</v>
      </c>
      <c r="F91" s="8">
        <v>3.7</v>
      </c>
      <c r="G91" s="8">
        <v>4.43</v>
      </c>
      <c r="H91" s="8">
        <v>2.81</v>
      </c>
    </row>
    <row r="92" spans="1:10" x14ac:dyDescent="0.25">
      <c r="A92" s="5">
        <v>4</v>
      </c>
      <c r="B92" s="5" t="s">
        <v>76</v>
      </c>
      <c r="C92" s="56" t="s">
        <v>157</v>
      </c>
      <c r="D92" s="16">
        <v>0.96</v>
      </c>
      <c r="E92" s="8">
        <v>1.53</v>
      </c>
      <c r="F92" s="8">
        <v>0.86</v>
      </c>
      <c r="G92" s="8">
        <v>10.63</v>
      </c>
      <c r="H92" s="8">
        <v>0.86</v>
      </c>
    </row>
    <row r="93" spans="1:10" x14ac:dyDescent="0.25">
      <c r="A93" s="5">
        <v>5</v>
      </c>
      <c r="B93" s="5" t="s">
        <v>79</v>
      </c>
      <c r="C93" s="56" t="s">
        <v>157</v>
      </c>
      <c r="D93" s="8">
        <v>57.25</v>
      </c>
      <c r="E93" s="8">
        <v>16.23</v>
      </c>
      <c r="F93" s="8">
        <v>35.82</v>
      </c>
      <c r="G93" s="8">
        <v>34.99</v>
      </c>
      <c r="H93" s="8">
        <v>31.69</v>
      </c>
    </row>
    <row r="94" spans="1:10" x14ac:dyDescent="0.25">
      <c r="A94" s="5">
        <v>6</v>
      </c>
      <c r="B94" s="5" t="s">
        <v>80</v>
      </c>
      <c r="C94" s="56" t="s">
        <v>157</v>
      </c>
      <c r="D94" s="16">
        <v>0</v>
      </c>
      <c r="E94" s="8">
        <v>0</v>
      </c>
      <c r="F94" s="12">
        <v>5</v>
      </c>
      <c r="G94" s="8">
        <v>8</v>
      </c>
      <c r="H94" s="8"/>
    </row>
    <row r="95" spans="1:10" x14ac:dyDescent="0.25">
      <c r="A95" s="5">
        <v>7</v>
      </c>
      <c r="B95" s="5" t="s">
        <v>94</v>
      </c>
      <c r="C95" s="56" t="s">
        <v>157</v>
      </c>
      <c r="D95" s="16">
        <v>13.96</v>
      </c>
      <c r="E95" s="8">
        <v>13.3</v>
      </c>
      <c r="F95" s="12">
        <v>12.64</v>
      </c>
      <c r="G95" s="8"/>
      <c r="H95" s="5"/>
    </row>
    <row r="96" spans="1:10" x14ac:dyDescent="0.25">
      <c r="A96" s="5">
        <v>8</v>
      </c>
      <c r="B96" s="5" t="s">
        <v>95</v>
      </c>
      <c r="C96" s="56" t="s">
        <v>157</v>
      </c>
      <c r="D96" s="16">
        <v>4.33</v>
      </c>
      <c r="E96" s="8">
        <v>8.09</v>
      </c>
      <c r="F96" s="12">
        <v>5.79</v>
      </c>
      <c r="G96" s="8">
        <v>9.15</v>
      </c>
      <c r="H96" s="8"/>
    </row>
    <row r="97" spans="1:8" x14ac:dyDescent="0.25">
      <c r="A97" s="5">
        <v>9</v>
      </c>
      <c r="B97" s="13" t="s">
        <v>139</v>
      </c>
      <c r="C97" s="56" t="s">
        <v>157</v>
      </c>
      <c r="D97" s="5"/>
      <c r="E97" s="5"/>
      <c r="F97" s="5"/>
      <c r="G97" s="8">
        <v>2.75</v>
      </c>
      <c r="H97" s="8"/>
    </row>
    <row r="98" spans="1:8" x14ac:dyDescent="0.25">
      <c r="A98" s="139" t="s">
        <v>97</v>
      </c>
      <c r="B98" s="140"/>
      <c r="C98" s="23"/>
      <c r="D98" s="22">
        <f>SUM(D89:D97)</f>
        <v>809.73000000000013</v>
      </c>
      <c r="E98" s="22">
        <f t="shared" ref="E98:H98" si="8">SUM(E89:E97)</f>
        <v>1315.53</v>
      </c>
      <c r="F98" s="22">
        <f t="shared" si="8"/>
        <v>1442.9699999999998</v>
      </c>
      <c r="G98" s="22">
        <f t="shared" si="8"/>
        <v>1151.3900000000003</v>
      </c>
      <c r="H98" s="22">
        <f t="shared" si="8"/>
        <v>280.01000000000005</v>
      </c>
    </row>
    <row r="100" spans="1:8" x14ac:dyDescent="0.25">
      <c r="A100" s="159" t="s">
        <v>152</v>
      </c>
      <c r="B100" s="159"/>
      <c r="C100" s="58"/>
      <c r="D100" s="49"/>
      <c r="E100" s="49"/>
      <c r="F100" s="49"/>
      <c r="G100" s="49"/>
      <c r="H100" s="49"/>
    </row>
    <row r="101" spans="1:8" s="3" customFormat="1" x14ac:dyDescent="0.25">
      <c r="A101" s="1" t="s">
        <v>99</v>
      </c>
      <c r="B101" s="10" t="s">
        <v>0</v>
      </c>
      <c r="C101" s="10" t="s">
        <v>100</v>
      </c>
      <c r="D101" s="1" t="s">
        <v>45</v>
      </c>
      <c r="E101" s="1" t="s">
        <v>44</v>
      </c>
      <c r="F101" s="1" t="s">
        <v>38</v>
      </c>
      <c r="G101" s="1" t="s">
        <v>39</v>
      </c>
      <c r="H101" s="1" t="s">
        <v>43</v>
      </c>
    </row>
    <row r="102" spans="1:8" x14ac:dyDescent="0.25">
      <c r="A102" s="5">
        <v>1</v>
      </c>
      <c r="B102" s="46" t="s">
        <v>154</v>
      </c>
      <c r="C102" s="56" t="s">
        <v>157</v>
      </c>
      <c r="D102" s="18">
        <v>2113.34</v>
      </c>
      <c r="E102" s="18">
        <v>923.22</v>
      </c>
      <c r="F102" s="18">
        <v>926.57</v>
      </c>
      <c r="G102" s="16">
        <v>3072.54</v>
      </c>
      <c r="H102" s="18">
        <v>646.32000000000005</v>
      </c>
    </row>
    <row r="103" spans="1:8" x14ac:dyDescent="0.25">
      <c r="A103" s="5">
        <v>2</v>
      </c>
      <c r="B103" s="46" t="s">
        <v>155</v>
      </c>
      <c r="C103" s="56" t="s">
        <v>157</v>
      </c>
      <c r="D103" s="18">
        <v>351.97</v>
      </c>
      <c r="E103" s="18">
        <v>698.11</v>
      </c>
      <c r="F103" s="18">
        <v>43.24</v>
      </c>
      <c r="G103" s="18">
        <v>89.94</v>
      </c>
      <c r="H103" s="16">
        <v>226.81</v>
      </c>
    </row>
    <row r="104" spans="1:8" x14ac:dyDescent="0.25">
      <c r="A104" s="5"/>
      <c r="B104" s="46" t="s">
        <v>143</v>
      </c>
      <c r="C104" s="59"/>
      <c r="D104" s="16">
        <f t="shared" ref="D104:H104" si="9">SUM(D102:D103)</f>
        <v>2465.3100000000004</v>
      </c>
      <c r="E104" s="16">
        <f t="shared" si="9"/>
        <v>1621.33</v>
      </c>
      <c r="F104" s="16">
        <f t="shared" si="9"/>
        <v>969.81000000000006</v>
      </c>
      <c r="G104" s="16">
        <f t="shared" si="9"/>
        <v>3162.48</v>
      </c>
      <c r="H104" s="16">
        <f t="shared" si="9"/>
        <v>873.13000000000011</v>
      </c>
    </row>
  </sheetData>
  <mergeCells count="13">
    <mergeCell ref="G1:H1"/>
    <mergeCell ref="A2:H2"/>
    <mergeCell ref="A3:H3"/>
    <mergeCell ref="A100:B100"/>
    <mergeCell ref="A34:J34"/>
    <mergeCell ref="A87:G87"/>
    <mergeCell ref="A98:B98"/>
    <mergeCell ref="A78:B78"/>
    <mergeCell ref="A67:B67"/>
    <mergeCell ref="A65:B65"/>
    <mergeCell ref="A76:B76"/>
    <mergeCell ref="A85:B85"/>
    <mergeCell ref="A82:B82"/>
  </mergeCells>
  <pageMargins left="0.7" right="0.24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6"/>
  <sheetViews>
    <sheetView workbookViewId="0">
      <selection activeCell="A98" sqref="A98:G98"/>
    </sheetView>
  </sheetViews>
  <sheetFormatPr defaultRowHeight="15" x14ac:dyDescent="0.25"/>
  <cols>
    <col min="1" max="1" width="6.42578125" customWidth="1"/>
    <col min="2" max="2" width="23" customWidth="1"/>
    <col min="3" max="3" width="10.7109375" customWidth="1"/>
    <col min="4" max="4" width="10.5703125" customWidth="1"/>
    <col min="5" max="5" width="11.7109375" customWidth="1"/>
    <col min="6" max="6" width="10.140625" customWidth="1"/>
    <col min="7" max="7" width="11" customWidth="1"/>
  </cols>
  <sheetData>
    <row r="1" spans="1:7" x14ac:dyDescent="0.25">
      <c r="A1" s="45"/>
      <c r="B1" s="115"/>
      <c r="C1" s="4"/>
      <c r="D1" s="4"/>
      <c r="F1" s="168" t="s">
        <v>271</v>
      </c>
      <c r="G1" s="168"/>
    </row>
    <row r="2" spans="1:7" x14ac:dyDescent="0.25">
      <c r="A2" s="171" t="s">
        <v>329</v>
      </c>
      <c r="B2" s="171"/>
      <c r="C2" s="171"/>
      <c r="D2" s="171"/>
      <c r="E2" s="171"/>
      <c r="F2" s="171"/>
      <c r="G2" s="171"/>
    </row>
    <row r="3" spans="1:7" x14ac:dyDescent="0.25">
      <c r="A3" s="171" t="s">
        <v>328</v>
      </c>
      <c r="B3" s="171"/>
      <c r="C3" s="171"/>
      <c r="D3" s="171"/>
      <c r="E3" s="171"/>
      <c r="F3" s="171"/>
      <c r="G3" s="171"/>
    </row>
    <row r="4" spans="1:7" x14ac:dyDescent="0.25">
      <c r="A4" s="171" t="s">
        <v>315</v>
      </c>
      <c r="B4" s="171"/>
      <c r="C4" s="171"/>
      <c r="D4" s="171"/>
      <c r="E4" s="171"/>
      <c r="F4" s="171"/>
      <c r="G4" s="171"/>
    </row>
    <row r="5" spans="1:7" x14ac:dyDescent="0.25">
      <c r="A5" s="123"/>
      <c r="B5" s="123"/>
      <c r="C5" s="123"/>
      <c r="D5" s="123"/>
      <c r="E5" s="123"/>
      <c r="F5" s="172" t="s">
        <v>316</v>
      </c>
      <c r="G5" s="172"/>
    </row>
    <row r="6" spans="1:7" x14ac:dyDescent="0.25">
      <c r="A6" s="10" t="s">
        <v>272</v>
      </c>
      <c r="B6" s="99" t="s">
        <v>0</v>
      </c>
      <c r="C6" s="10" t="s">
        <v>45</v>
      </c>
      <c r="D6" s="10" t="s">
        <v>44</v>
      </c>
      <c r="E6" s="10" t="s">
        <v>38</v>
      </c>
      <c r="F6" s="10" t="s">
        <v>39</v>
      </c>
      <c r="G6" s="10" t="s">
        <v>43</v>
      </c>
    </row>
    <row r="7" spans="1:7" x14ac:dyDescent="0.25">
      <c r="A7" s="10">
        <v>1</v>
      </c>
      <c r="B7" s="99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18.75" customHeight="1" x14ac:dyDescent="0.25">
      <c r="A8" s="10" t="s">
        <v>101</v>
      </c>
      <c r="B8" s="165" t="s">
        <v>273</v>
      </c>
      <c r="C8" s="166"/>
      <c r="D8" s="166"/>
      <c r="E8" s="166"/>
      <c r="F8" s="166"/>
      <c r="G8" s="167"/>
    </row>
    <row r="9" spans="1:7" ht="20.25" customHeight="1" x14ac:dyDescent="0.25">
      <c r="A9" s="116">
        <v>1</v>
      </c>
      <c r="B9" s="117" t="s">
        <v>282</v>
      </c>
      <c r="C9" s="118">
        <v>0</v>
      </c>
      <c r="D9" s="118">
        <f>C99</f>
        <v>137.12</v>
      </c>
      <c r="E9" s="118">
        <f t="shared" ref="E9:G9" si="0">D99</f>
        <v>137.12</v>
      </c>
      <c r="F9" s="118">
        <f>E99/100000</f>
        <v>0</v>
      </c>
      <c r="G9" s="118">
        <f t="shared" si="0"/>
        <v>0</v>
      </c>
    </row>
    <row r="10" spans="1:7" ht="21" customHeight="1" x14ac:dyDescent="0.25">
      <c r="A10" s="116">
        <v>2</v>
      </c>
      <c r="B10" s="101" t="s">
        <v>283</v>
      </c>
      <c r="C10" s="118">
        <f>1288032*2/100000</f>
        <v>25.760639999999999</v>
      </c>
      <c r="D10" s="118">
        <f>C100</f>
        <v>12.880320000000001</v>
      </c>
      <c r="E10" s="118">
        <f>D100</f>
        <v>51.521280000000004</v>
      </c>
      <c r="F10" s="118">
        <f>E100</f>
        <v>38.640960000000007</v>
      </c>
      <c r="G10" s="118">
        <f t="shared" ref="D10:G25" si="1">F100</f>
        <v>38.640960000000007</v>
      </c>
    </row>
    <row r="11" spans="1:7" ht="24" customHeight="1" x14ac:dyDescent="0.25">
      <c r="A11" s="116">
        <v>3</v>
      </c>
      <c r="B11" s="101" t="s">
        <v>284</v>
      </c>
      <c r="C11" s="118">
        <v>0</v>
      </c>
      <c r="D11" s="118">
        <f>C101</f>
        <v>15.82713</v>
      </c>
      <c r="E11" s="118">
        <f t="shared" si="1"/>
        <v>15.82713</v>
      </c>
      <c r="F11" s="118">
        <f>E101/100000</f>
        <v>0</v>
      </c>
      <c r="G11" s="118">
        <f t="shared" si="1"/>
        <v>0</v>
      </c>
    </row>
    <row r="12" spans="1:7" ht="23.25" customHeight="1" x14ac:dyDescent="0.25">
      <c r="A12" s="116">
        <v>4</v>
      </c>
      <c r="B12" s="101" t="s">
        <v>285</v>
      </c>
      <c r="C12" s="118">
        <v>0</v>
      </c>
      <c r="D12" s="118">
        <f t="shared" si="1"/>
        <v>19.628869999999999</v>
      </c>
      <c r="E12" s="118">
        <f t="shared" si="1"/>
        <v>19.628869999999999</v>
      </c>
      <c r="F12" s="118">
        <f t="shared" si="1"/>
        <v>0</v>
      </c>
      <c r="G12" s="118">
        <f t="shared" si="1"/>
        <v>0</v>
      </c>
    </row>
    <row r="13" spans="1:7" ht="30" x14ac:dyDescent="0.25">
      <c r="A13" s="116">
        <v>5</v>
      </c>
      <c r="B13" s="101" t="s">
        <v>286</v>
      </c>
      <c r="C13" s="118">
        <v>0</v>
      </c>
      <c r="D13" s="118">
        <f t="shared" si="1"/>
        <v>0</v>
      </c>
      <c r="E13" s="118">
        <f t="shared" si="1"/>
        <v>0</v>
      </c>
      <c r="F13" s="118">
        <f t="shared" si="1"/>
        <v>130.09717000000001</v>
      </c>
      <c r="G13" s="118">
        <f t="shared" si="1"/>
        <v>130.09717000000001</v>
      </c>
    </row>
    <row r="14" spans="1:7" x14ac:dyDescent="0.25">
      <c r="A14" s="116">
        <v>6</v>
      </c>
      <c r="B14" s="101" t="s">
        <v>287</v>
      </c>
      <c r="C14" s="118">
        <v>0</v>
      </c>
      <c r="D14" s="118">
        <f t="shared" si="1"/>
        <v>0</v>
      </c>
      <c r="E14" s="118">
        <f t="shared" si="1"/>
        <v>0</v>
      </c>
      <c r="F14" s="118">
        <f t="shared" si="1"/>
        <v>11.1679926</v>
      </c>
      <c r="G14" s="118">
        <f t="shared" si="1"/>
        <v>11.1679926</v>
      </c>
    </row>
    <row r="15" spans="1:7" x14ac:dyDescent="0.25">
      <c r="A15" s="119">
        <v>7</v>
      </c>
      <c r="B15" s="108" t="s">
        <v>288</v>
      </c>
      <c r="C15" s="120">
        <v>0</v>
      </c>
      <c r="D15" s="118">
        <f t="shared" si="1"/>
        <v>0</v>
      </c>
      <c r="E15" s="118">
        <f t="shared" si="1"/>
        <v>0</v>
      </c>
      <c r="F15" s="118">
        <f t="shared" si="1"/>
        <v>0</v>
      </c>
      <c r="G15" s="118">
        <f t="shared" si="1"/>
        <v>10.481199999999999</v>
      </c>
    </row>
    <row r="16" spans="1:7" x14ac:dyDescent="0.25">
      <c r="A16" s="119">
        <v>8</v>
      </c>
      <c r="B16" s="108" t="s">
        <v>320</v>
      </c>
      <c r="C16" s="120">
        <f>652219.5/100000</f>
        <v>6.522195</v>
      </c>
      <c r="D16" s="118">
        <f t="shared" si="1"/>
        <v>13.04439</v>
      </c>
      <c r="E16" s="118">
        <f t="shared" si="1"/>
        <v>13.04439</v>
      </c>
      <c r="F16" s="118">
        <f t="shared" si="1"/>
        <v>13.04439</v>
      </c>
      <c r="G16" s="118">
        <f t="shared" si="1"/>
        <v>13.04439</v>
      </c>
    </row>
    <row r="17" spans="1:7" x14ac:dyDescent="0.25">
      <c r="A17" s="119">
        <v>9</v>
      </c>
      <c r="B17" s="108" t="s">
        <v>321</v>
      </c>
      <c r="C17" s="120">
        <f>912794/100000</f>
        <v>9.1279400000000006</v>
      </c>
      <c r="D17" s="118">
        <f t="shared" si="1"/>
        <v>18.255880000000001</v>
      </c>
      <c r="E17" s="118">
        <f t="shared" si="1"/>
        <v>18.255880000000001</v>
      </c>
      <c r="F17" s="118">
        <f t="shared" si="1"/>
        <v>18.255880000000001</v>
      </c>
      <c r="G17" s="118">
        <f t="shared" si="1"/>
        <v>18.255880000000001</v>
      </c>
    </row>
    <row r="18" spans="1:7" x14ac:dyDescent="0.25">
      <c r="A18" s="119">
        <v>10</v>
      </c>
      <c r="B18" s="108" t="s">
        <v>290</v>
      </c>
      <c r="C18" s="120">
        <v>0</v>
      </c>
      <c r="D18" s="118">
        <f t="shared" si="1"/>
        <v>6.4092500000000001</v>
      </c>
      <c r="E18" s="118">
        <f t="shared" si="1"/>
        <v>6.4092500000000001</v>
      </c>
      <c r="F18" s="118">
        <f t="shared" si="1"/>
        <v>6.4092500000000001</v>
      </c>
      <c r="G18" s="118">
        <f t="shared" si="1"/>
        <v>6.4092500000000001</v>
      </c>
    </row>
    <row r="19" spans="1:7" x14ac:dyDescent="0.25">
      <c r="A19" s="119">
        <v>11</v>
      </c>
      <c r="B19" s="108" t="s">
        <v>291</v>
      </c>
      <c r="C19" s="120">
        <f>2153376/100000</f>
        <v>21.533760000000001</v>
      </c>
      <c r="D19" s="118">
        <f t="shared" si="1"/>
        <v>10.76688</v>
      </c>
      <c r="E19" s="118">
        <f t="shared" si="1"/>
        <v>10.76688</v>
      </c>
      <c r="F19" s="118">
        <f t="shared" si="1"/>
        <v>10.76688</v>
      </c>
      <c r="G19" s="118">
        <f t="shared" si="1"/>
        <v>10.76688</v>
      </c>
    </row>
    <row r="20" spans="1:7" x14ac:dyDescent="0.25">
      <c r="A20" s="119">
        <v>12</v>
      </c>
      <c r="B20" s="108" t="s">
        <v>322</v>
      </c>
      <c r="C20" s="120">
        <f>5143877/100000</f>
        <v>51.438769999999998</v>
      </c>
      <c r="D20" s="118">
        <f t="shared" si="1"/>
        <v>25.719384999999999</v>
      </c>
      <c r="E20" s="118">
        <f t="shared" si="1"/>
        <v>0</v>
      </c>
      <c r="F20" s="118">
        <f t="shared" si="1"/>
        <v>51.438769999999998</v>
      </c>
      <c r="G20" s="118">
        <f t="shared" si="1"/>
        <v>51.438769999999998</v>
      </c>
    </row>
    <row r="21" spans="1:7" x14ac:dyDescent="0.25">
      <c r="A21" s="119">
        <v>13</v>
      </c>
      <c r="B21" s="108" t="s">
        <v>293</v>
      </c>
      <c r="C21" s="120">
        <v>0</v>
      </c>
      <c r="D21" s="118">
        <f t="shared" si="1"/>
        <v>0</v>
      </c>
      <c r="E21" s="118">
        <f t="shared" si="1"/>
        <v>0</v>
      </c>
      <c r="F21" s="118">
        <f t="shared" si="1"/>
        <v>196.89033000000001</v>
      </c>
      <c r="G21" s="118">
        <f t="shared" si="1"/>
        <v>196.89033000000001</v>
      </c>
    </row>
    <row r="22" spans="1:7" ht="15.75" customHeight="1" x14ac:dyDescent="0.25">
      <c r="A22" s="119">
        <v>14</v>
      </c>
      <c r="B22" s="108" t="s">
        <v>294</v>
      </c>
      <c r="C22" s="120">
        <v>0</v>
      </c>
      <c r="D22" s="118">
        <f t="shared" si="1"/>
        <v>0</v>
      </c>
      <c r="E22" s="118">
        <f t="shared" si="1"/>
        <v>0</v>
      </c>
      <c r="F22" s="118">
        <f t="shared" si="1"/>
        <v>196.89033000000001</v>
      </c>
      <c r="G22" s="118">
        <f t="shared" si="1"/>
        <v>196.89033000000001</v>
      </c>
    </row>
    <row r="23" spans="1:7" ht="30" x14ac:dyDescent="0.25">
      <c r="A23" s="119">
        <v>15</v>
      </c>
      <c r="B23" s="108" t="s">
        <v>323</v>
      </c>
      <c r="C23" s="120">
        <v>0</v>
      </c>
      <c r="D23" s="118">
        <f t="shared" si="1"/>
        <v>0</v>
      </c>
      <c r="E23" s="118">
        <f t="shared" si="1"/>
        <v>0</v>
      </c>
      <c r="F23" s="118">
        <f t="shared" si="1"/>
        <v>150.97606999999999</v>
      </c>
      <c r="G23" s="118">
        <f t="shared" si="1"/>
        <v>150.97606999999999</v>
      </c>
    </row>
    <row r="24" spans="1:7" ht="30" x14ac:dyDescent="0.25">
      <c r="A24" s="119">
        <v>16</v>
      </c>
      <c r="B24" s="108" t="s">
        <v>296</v>
      </c>
      <c r="C24" s="120">
        <f>639807/100000</f>
        <v>6.3980699999999997</v>
      </c>
      <c r="D24" s="118">
        <f t="shared" si="1"/>
        <v>6.3980699999999997</v>
      </c>
      <c r="E24" s="118">
        <f t="shared" si="1"/>
        <v>6.3980699999999997</v>
      </c>
      <c r="F24" s="118">
        <f t="shared" si="1"/>
        <v>6.3980699999999997</v>
      </c>
      <c r="G24" s="118">
        <f t="shared" si="1"/>
        <v>6.3980699999999997</v>
      </c>
    </row>
    <row r="25" spans="1:7" ht="30" x14ac:dyDescent="0.25">
      <c r="A25" s="119">
        <v>17</v>
      </c>
      <c r="B25" s="108" t="s">
        <v>297</v>
      </c>
      <c r="C25" s="120">
        <f>1054381/100000</f>
        <v>10.543810000000001</v>
      </c>
      <c r="D25" s="118">
        <f t="shared" si="1"/>
        <v>10.543810000000001</v>
      </c>
      <c r="E25" s="118">
        <f t="shared" si="1"/>
        <v>10.543810000000001</v>
      </c>
      <c r="F25" s="118">
        <f t="shared" si="1"/>
        <v>10.543810000000001</v>
      </c>
      <c r="G25" s="118">
        <f t="shared" si="1"/>
        <v>10.543810000000001</v>
      </c>
    </row>
    <row r="26" spans="1:7" ht="18" customHeight="1" x14ac:dyDescent="0.25">
      <c r="A26" s="119">
        <v>18</v>
      </c>
      <c r="B26" s="108" t="s">
        <v>298</v>
      </c>
      <c r="C26" s="120">
        <f>1036777/100000</f>
        <v>10.36777</v>
      </c>
      <c r="D26" s="118">
        <f t="shared" ref="D26:G36" si="2">C116</f>
        <v>10.36777</v>
      </c>
      <c r="E26" s="118">
        <f t="shared" si="2"/>
        <v>10.36777</v>
      </c>
      <c r="F26" s="118">
        <f t="shared" si="2"/>
        <v>10.36777</v>
      </c>
      <c r="G26" s="118">
        <f t="shared" si="2"/>
        <v>10.36777</v>
      </c>
    </row>
    <row r="27" spans="1:7" ht="18.75" customHeight="1" x14ac:dyDescent="0.25">
      <c r="A27" s="119">
        <v>19</v>
      </c>
      <c r="B27" s="108" t="s">
        <v>312</v>
      </c>
      <c r="C27" s="120">
        <f>574874/100000</f>
        <v>5.7487399999999997</v>
      </c>
      <c r="D27" s="118">
        <f t="shared" si="2"/>
        <v>5.7487399999999997</v>
      </c>
      <c r="E27" s="118">
        <f t="shared" si="2"/>
        <v>5.7487399999999997</v>
      </c>
      <c r="F27" s="118">
        <f t="shared" si="2"/>
        <v>5.7487399999999997</v>
      </c>
      <c r="G27" s="118">
        <f t="shared" si="2"/>
        <v>5.7487399999999997</v>
      </c>
    </row>
    <row r="28" spans="1:7" ht="27.75" customHeight="1" x14ac:dyDescent="0.25">
      <c r="A28" s="119">
        <v>20</v>
      </c>
      <c r="B28" s="108" t="s">
        <v>300</v>
      </c>
      <c r="C28" s="120">
        <f>549546/100000</f>
        <v>5.4954599999999996</v>
      </c>
      <c r="D28" s="118">
        <f t="shared" si="2"/>
        <v>5.4954599999999996</v>
      </c>
      <c r="E28" s="118">
        <f t="shared" si="2"/>
        <v>5.4954599999999996</v>
      </c>
      <c r="F28" s="118">
        <f t="shared" si="2"/>
        <v>5.4954599999999996</v>
      </c>
      <c r="G28" s="118">
        <f t="shared" si="2"/>
        <v>5.4954599999999996</v>
      </c>
    </row>
    <row r="29" spans="1:7" ht="45" x14ac:dyDescent="0.25">
      <c r="A29" s="119">
        <v>21</v>
      </c>
      <c r="B29" s="108" t="s">
        <v>301</v>
      </c>
      <c r="C29" s="120">
        <f>2672453/100000</f>
        <v>26.724530000000001</v>
      </c>
      <c r="D29" s="118">
        <f t="shared" si="2"/>
        <v>26.724530000000001</v>
      </c>
      <c r="E29" s="118">
        <f t="shared" si="2"/>
        <v>53.449060000000003</v>
      </c>
      <c r="F29" s="118">
        <f t="shared" si="2"/>
        <v>26.724530000000001</v>
      </c>
      <c r="G29" s="118">
        <f t="shared" si="2"/>
        <v>26.724530000000001</v>
      </c>
    </row>
    <row r="30" spans="1:7" ht="30" x14ac:dyDescent="0.25">
      <c r="A30" s="116">
        <v>22</v>
      </c>
      <c r="B30" s="101" t="s">
        <v>302</v>
      </c>
      <c r="C30" s="118">
        <f>548449/100000</f>
        <v>5.4844900000000001</v>
      </c>
      <c r="D30" s="118">
        <f t="shared" si="2"/>
        <v>5.4844900000000001</v>
      </c>
      <c r="E30" s="118">
        <f t="shared" si="2"/>
        <v>5.4844900000000001</v>
      </c>
      <c r="F30" s="118">
        <f t="shared" si="2"/>
        <v>5.4844900000000001</v>
      </c>
      <c r="G30" s="118">
        <f t="shared" si="2"/>
        <v>5.4844900000000001</v>
      </c>
    </row>
    <row r="31" spans="1:7" x14ac:dyDescent="0.25">
      <c r="A31" s="116">
        <v>23</v>
      </c>
      <c r="B31" s="101" t="s">
        <v>303</v>
      </c>
      <c r="C31" s="118">
        <f>2155875/100000</f>
        <v>21.55875</v>
      </c>
      <c r="D31" s="118">
        <f t="shared" si="2"/>
        <v>21.55875</v>
      </c>
      <c r="E31" s="118">
        <f t="shared" si="2"/>
        <v>21.55875</v>
      </c>
      <c r="F31" s="118">
        <f t="shared" si="2"/>
        <v>21.55875</v>
      </c>
      <c r="G31" s="118">
        <f t="shared" si="2"/>
        <v>21.55875</v>
      </c>
    </row>
    <row r="32" spans="1:7" x14ac:dyDescent="0.25">
      <c r="A32" s="116">
        <v>24</v>
      </c>
      <c r="B32" s="101" t="s">
        <v>304</v>
      </c>
      <c r="C32" s="118">
        <f>6451608/100000</f>
        <v>64.516080000000002</v>
      </c>
      <c r="D32" s="118">
        <f t="shared" si="2"/>
        <v>32.258040000000001</v>
      </c>
      <c r="E32" s="118">
        <f t="shared" si="2"/>
        <v>32.258040000000001</v>
      </c>
      <c r="F32" s="118">
        <f t="shared" si="2"/>
        <v>16.129020000000001</v>
      </c>
      <c r="G32" s="118">
        <f t="shared" si="2"/>
        <v>16.129020000000001</v>
      </c>
    </row>
    <row r="33" spans="1:7" x14ac:dyDescent="0.25">
      <c r="A33" s="116">
        <v>25</v>
      </c>
      <c r="B33" s="101" t="s">
        <v>305</v>
      </c>
      <c r="C33" s="118">
        <f>11653172/100000</f>
        <v>116.53172000000001</v>
      </c>
      <c r="D33" s="118">
        <f t="shared" si="2"/>
        <v>58.265860000000004</v>
      </c>
      <c r="E33" s="118">
        <f t="shared" si="2"/>
        <v>58.265860000000004</v>
      </c>
      <c r="F33" s="118">
        <f t="shared" si="2"/>
        <v>29.132930000000002</v>
      </c>
      <c r="G33" s="118">
        <f t="shared" si="2"/>
        <v>29.132930000000002</v>
      </c>
    </row>
    <row r="34" spans="1:7" x14ac:dyDescent="0.25">
      <c r="A34" s="116">
        <v>26</v>
      </c>
      <c r="B34" s="101" t="s">
        <v>306</v>
      </c>
      <c r="C34" s="118">
        <f>5592816/100000</f>
        <v>55.928159999999998</v>
      </c>
      <c r="D34" s="118">
        <f t="shared" si="2"/>
        <v>27.964079999999999</v>
      </c>
      <c r="E34" s="118">
        <f t="shared" si="2"/>
        <v>27.964079999999999</v>
      </c>
      <c r="F34" s="118">
        <f t="shared" si="2"/>
        <v>13.98204</v>
      </c>
      <c r="G34" s="118">
        <f t="shared" si="2"/>
        <v>13.98204</v>
      </c>
    </row>
    <row r="35" spans="1:7" x14ac:dyDescent="0.25">
      <c r="A35" s="116">
        <v>27</v>
      </c>
      <c r="B35" s="101" t="s">
        <v>307</v>
      </c>
      <c r="C35" s="118">
        <f>10453476/100000</f>
        <v>104.53476000000001</v>
      </c>
      <c r="D35" s="118">
        <f t="shared" si="2"/>
        <v>52.267380000000003</v>
      </c>
      <c r="E35" s="118">
        <f t="shared" si="2"/>
        <v>52.267380000000003</v>
      </c>
      <c r="F35" s="118">
        <f t="shared" si="2"/>
        <v>26.133690000000001</v>
      </c>
      <c r="G35" s="118">
        <f t="shared" si="2"/>
        <v>26.133690000000001</v>
      </c>
    </row>
    <row r="36" spans="1:7" x14ac:dyDescent="0.25">
      <c r="A36" s="116">
        <v>28</v>
      </c>
      <c r="B36" s="101" t="s">
        <v>324</v>
      </c>
      <c r="C36" s="118">
        <f>1355892/100000</f>
        <v>13.558920000000001</v>
      </c>
      <c r="D36" s="118">
        <f t="shared" si="2"/>
        <v>0</v>
      </c>
      <c r="E36" s="118">
        <f t="shared" si="2"/>
        <v>0</v>
      </c>
      <c r="F36" s="118">
        <f t="shared" si="2"/>
        <v>0</v>
      </c>
      <c r="G36" s="118">
        <f t="shared" si="2"/>
        <v>13.558920000000001</v>
      </c>
    </row>
    <row r="37" spans="1:7" x14ac:dyDescent="0.25">
      <c r="A37" s="169" t="s">
        <v>238</v>
      </c>
      <c r="B37" s="170"/>
      <c r="C37" s="122">
        <f>SUM(C9:C36)</f>
        <v>561.77456499999994</v>
      </c>
      <c r="D37" s="122">
        <f t="shared" ref="D37:G37" si="3">SUM(D9:D36)</f>
        <v>522.72908499999994</v>
      </c>
      <c r="E37" s="122">
        <f t="shared" si="3"/>
        <v>562.37518999999998</v>
      </c>
      <c r="F37" s="122">
        <f t="shared" si="3"/>
        <v>1002.2773225999998</v>
      </c>
      <c r="G37" s="122">
        <f t="shared" si="3"/>
        <v>1026.3174425999998</v>
      </c>
    </row>
    <row r="38" spans="1:7" ht="17.25" customHeight="1" x14ac:dyDescent="0.25">
      <c r="A38" s="10" t="s">
        <v>108</v>
      </c>
      <c r="B38" s="165" t="s">
        <v>274</v>
      </c>
      <c r="C38" s="166"/>
      <c r="D38" s="166"/>
      <c r="E38" s="166"/>
      <c r="F38" s="166"/>
      <c r="G38" s="167"/>
    </row>
    <row r="39" spans="1:7" x14ac:dyDescent="0.25">
      <c r="A39" s="116">
        <v>1</v>
      </c>
      <c r="B39" s="117" t="s">
        <v>282</v>
      </c>
      <c r="C39" s="118">
        <f>13712000/100000</f>
        <v>137.12</v>
      </c>
      <c r="D39" s="118">
        <v>0</v>
      </c>
      <c r="E39" s="118">
        <v>0</v>
      </c>
      <c r="F39" s="118">
        <v>0</v>
      </c>
      <c r="G39" s="118">
        <v>0</v>
      </c>
    </row>
    <row r="40" spans="1:7" ht="20.25" customHeight="1" x14ac:dyDescent="0.25">
      <c r="A40" s="116">
        <v>2</v>
      </c>
      <c r="B40" s="101" t="s">
        <v>283</v>
      </c>
      <c r="C40" s="118">
        <f>1288032/100000</f>
        <v>12.880319999999999</v>
      </c>
      <c r="D40" s="118">
        <f>C40*3</f>
        <v>38.64096</v>
      </c>
      <c r="E40" s="118">
        <v>0</v>
      </c>
      <c r="F40" s="118">
        <v>0</v>
      </c>
      <c r="G40" s="118">
        <v>0</v>
      </c>
    </row>
    <row r="41" spans="1:7" ht="18.75" customHeight="1" x14ac:dyDescent="0.25">
      <c r="A41" s="116">
        <v>3</v>
      </c>
      <c r="B41" s="101" t="s">
        <v>284</v>
      </c>
      <c r="C41" s="118">
        <f>1582713/100000</f>
        <v>15.82713</v>
      </c>
      <c r="D41" s="118">
        <v>0</v>
      </c>
      <c r="E41" s="118">
        <v>0</v>
      </c>
      <c r="F41" s="118">
        <v>0</v>
      </c>
      <c r="G41" s="118">
        <v>0</v>
      </c>
    </row>
    <row r="42" spans="1:7" ht="17.25" customHeight="1" x14ac:dyDescent="0.25">
      <c r="A42" s="116">
        <v>4</v>
      </c>
      <c r="B42" s="101" t="s">
        <v>285</v>
      </c>
      <c r="C42" s="118">
        <f>1962887/100000</f>
        <v>19.628869999999999</v>
      </c>
      <c r="D42" s="118">
        <v>0</v>
      </c>
      <c r="E42" s="118">
        <v>0</v>
      </c>
      <c r="F42" s="118">
        <v>0</v>
      </c>
      <c r="G42" s="118">
        <v>0</v>
      </c>
    </row>
    <row r="43" spans="1:7" ht="30" x14ac:dyDescent="0.25">
      <c r="A43" s="116">
        <v>5</v>
      </c>
      <c r="B43" s="101" t="s">
        <v>286</v>
      </c>
      <c r="C43" s="118">
        <v>0</v>
      </c>
      <c r="D43" s="118">
        <v>0</v>
      </c>
      <c r="E43" s="118">
        <f>13009717/100000</f>
        <v>130.09717000000001</v>
      </c>
      <c r="F43" s="118">
        <v>0</v>
      </c>
      <c r="G43" s="118">
        <v>0</v>
      </c>
    </row>
    <row r="44" spans="1:7" x14ac:dyDescent="0.25">
      <c r="A44" s="116">
        <v>6</v>
      </c>
      <c r="B44" s="101" t="s">
        <v>287</v>
      </c>
      <c r="C44" s="118">
        <v>0</v>
      </c>
      <c r="D44" s="118">
        <v>0</v>
      </c>
      <c r="E44" s="118">
        <f>1116799.26/100000</f>
        <v>11.1679926</v>
      </c>
      <c r="F44" s="118">
        <v>0</v>
      </c>
      <c r="G44" s="118">
        <v>0</v>
      </c>
    </row>
    <row r="45" spans="1:7" x14ac:dyDescent="0.25">
      <c r="A45" s="116">
        <v>7</v>
      </c>
      <c r="B45" s="101" t="s">
        <v>288</v>
      </c>
      <c r="C45" s="118">
        <v>0</v>
      </c>
      <c r="D45" s="118">
        <v>0</v>
      </c>
      <c r="E45" s="118"/>
      <c r="F45" s="118">
        <f>2096240/100000</f>
        <v>20.962399999999999</v>
      </c>
      <c r="G45" s="118">
        <v>0</v>
      </c>
    </row>
    <row r="46" spans="1:7" x14ac:dyDescent="0.25">
      <c r="A46" s="116">
        <v>8</v>
      </c>
      <c r="B46" s="108" t="s">
        <v>289</v>
      </c>
      <c r="C46" s="118">
        <f>652219.5/100000</f>
        <v>6.522195</v>
      </c>
      <c r="D46" s="118">
        <v>0</v>
      </c>
      <c r="E46" s="118">
        <v>0</v>
      </c>
      <c r="F46" s="118">
        <v>0</v>
      </c>
      <c r="G46" s="118">
        <v>0</v>
      </c>
    </row>
    <row r="47" spans="1:7" x14ac:dyDescent="0.25">
      <c r="A47" s="116">
        <v>9</v>
      </c>
      <c r="B47" s="101" t="s">
        <v>290</v>
      </c>
      <c r="C47" s="118">
        <f>912794/100000</f>
        <v>9.1279400000000006</v>
      </c>
      <c r="D47" s="118">
        <v>0</v>
      </c>
      <c r="E47" s="118">
        <v>0</v>
      </c>
      <c r="F47" s="118">
        <v>0</v>
      </c>
      <c r="G47" s="118">
        <v>0</v>
      </c>
    </row>
    <row r="48" spans="1:7" x14ac:dyDescent="0.25">
      <c r="A48" s="116">
        <v>10</v>
      </c>
      <c r="B48" s="101" t="s">
        <v>290</v>
      </c>
      <c r="C48" s="118">
        <f>640925/100000</f>
        <v>6.4092500000000001</v>
      </c>
      <c r="D48" s="118">
        <v>0</v>
      </c>
      <c r="E48" s="118">
        <v>0</v>
      </c>
      <c r="F48" s="118">
        <v>0</v>
      </c>
      <c r="G48" s="118">
        <v>0</v>
      </c>
    </row>
    <row r="49" spans="1:7" x14ac:dyDescent="0.25">
      <c r="A49" s="116">
        <v>11</v>
      </c>
      <c r="B49" s="101" t="s">
        <v>291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</row>
    <row r="50" spans="1:7" x14ac:dyDescent="0.25">
      <c r="A50" s="116">
        <v>12</v>
      </c>
      <c r="B50" s="101" t="s">
        <v>292</v>
      </c>
      <c r="C50" s="118">
        <v>0</v>
      </c>
      <c r="D50" s="118">
        <v>0</v>
      </c>
      <c r="E50" s="118">
        <f>5143877/100000</f>
        <v>51.438769999999998</v>
      </c>
      <c r="F50" s="118">
        <v>0</v>
      </c>
      <c r="G50" s="118">
        <v>0</v>
      </c>
    </row>
    <row r="51" spans="1:7" x14ac:dyDescent="0.25">
      <c r="A51" s="116">
        <v>13</v>
      </c>
      <c r="B51" s="101" t="s">
        <v>293</v>
      </c>
      <c r="C51" s="118">
        <v>0</v>
      </c>
      <c r="D51" s="118">
        <v>0</v>
      </c>
      <c r="E51" s="118">
        <f>19689033/100000</f>
        <v>196.89033000000001</v>
      </c>
      <c r="F51" s="118">
        <v>0</v>
      </c>
      <c r="G51" s="118">
        <v>0</v>
      </c>
    </row>
    <row r="52" spans="1:7" ht="18" customHeight="1" x14ac:dyDescent="0.25">
      <c r="A52" s="116">
        <v>14</v>
      </c>
      <c r="B52" s="101" t="s">
        <v>294</v>
      </c>
      <c r="C52" s="118">
        <v>0</v>
      </c>
      <c r="D52" s="118"/>
      <c r="E52" s="118">
        <f>19689033/100000</f>
        <v>196.89033000000001</v>
      </c>
      <c r="F52" s="118">
        <v>0</v>
      </c>
      <c r="G52" s="118">
        <v>0</v>
      </c>
    </row>
    <row r="53" spans="1:7" ht="30" x14ac:dyDescent="0.25">
      <c r="A53" s="116">
        <v>15</v>
      </c>
      <c r="B53" s="101" t="s">
        <v>295</v>
      </c>
      <c r="C53" s="118">
        <v>0</v>
      </c>
      <c r="D53" s="118"/>
      <c r="E53" s="118">
        <f>15097607/100000</f>
        <v>150.97606999999999</v>
      </c>
      <c r="F53" s="118">
        <v>0</v>
      </c>
      <c r="G53" s="118">
        <v>0</v>
      </c>
    </row>
    <row r="54" spans="1:7" ht="30" x14ac:dyDescent="0.25">
      <c r="A54" s="116">
        <v>16</v>
      </c>
      <c r="B54" s="101" t="s">
        <v>296</v>
      </c>
      <c r="C54" s="118">
        <v>0</v>
      </c>
      <c r="D54" s="118">
        <v>0</v>
      </c>
      <c r="E54" s="118">
        <v>0</v>
      </c>
      <c r="F54" s="118">
        <v>0</v>
      </c>
      <c r="G54" s="118">
        <v>0</v>
      </c>
    </row>
    <row r="55" spans="1:7" ht="30" x14ac:dyDescent="0.25">
      <c r="A55" s="116">
        <v>17</v>
      </c>
      <c r="B55" s="101" t="s">
        <v>297</v>
      </c>
      <c r="C55" s="118">
        <v>0</v>
      </c>
      <c r="D55" s="118">
        <v>0</v>
      </c>
      <c r="E55" s="118">
        <v>0</v>
      </c>
      <c r="F55" s="118">
        <v>0</v>
      </c>
      <c r="G55" s="118">
        <v>0</v>
      </c>
    </row>
    <row r="56" spans="1:7" x14ac:dyDescent="0.25">
      <c r="A56" s="116">
        <v>18</v>
      </c>
      <c r="B56" s="101" t="s">
        <v>298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</row>
    <row r="57" spans="1:7" ht="30" x14ac:dyDescent="0.25">
      <c r="A57" s="116">
        <v>19</v>
      </c>
      <c r="B57" s="101" t="s">
        <v>299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</row>
    <row r="58" spans="1:7" ht="31.5" customHeight="1" x14ac:dyDescent="0.25">
      <c r="A58" s="116">
        <v>20</v>
      </c>
      <c r="B58" s="101" t="s">
        <v>300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</row>
    <row r="59" spans="1:7" ht="45" x14ac:dyDescent="0.25">
      <c r="A59" s="116">
        <v>21</v>
      </c>
      <c r="B59" s="101" t="s">
        <v>301</v>
      </c>
      <c r="C59" s="118">
        <f>2672453/100000</f>
        <v>26.724530000000001</v>
      </c>
      <c r="D59" s="118">
        <f>2672453/100000</f>
        <v>26.724530000000001</v>
      </c>
      <c r="E59" s="118">
        <v>0</v>
      </c>
      <c r="F59" s="118">
        <v>0</v>
      </c>
      <c r="G59" s="118">
        <v>0</v>
      </c>
    </row>
    <row r="60" spans="1:7" ht="30" x14ac:dyDescent="0.25">
      <c r="A60" s="116">
        <v>22</v>
      </c>
      <c r="B60" s="101" t="s">
        <v>302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</row>
    <row r="61" spans="1:7" x14ac:dyDescent="0.25">
      <c r="A61" s="116">
        <v>23</v>
      </c>
      <c r="B61" s="101" t="s">
        <v>303</v>
      </c>
      <c r="C61" s="118">
        <v>0</v>
      </c>
      <c r="D61" s="118">
        <v>0</v>
      </c>
      <c r="E61" s="118">
        <v>0</v>
      </c>
      <c r="F61" s="118">
        <v>0</v>
      </c>
      <c r="G61" s="118">
        <v>0</v>
      </c>
    </row>
    <row r="62" spans="1:7" x14ac:dyDescent="0.25">
      <c r="A62" s="116">
        <v>24</v>
      </c>
      <c r="B62" s="101" t="s">
        <v>304</v>
      </c>
      <c r="C62" s="118">
        <v>0</v>
      </c>
      <c r="D62" s="118">
        <v>0</v>
      </c>
      <c r="E62" s="118">
        <v>0</v>
      </c>
      <c r="F62" s="118">
        <v>0</v>
      </c>
      <c r="G62" s="118">
        <v>0</v>
      </c>
    </row>
    <row r="63" spans="1:7" x14ac:dyDescent="0.25">
      <c r="A63" s="116">
        <v>25</v>
      </c>
      <c r="B63" s="101" t="s">
        <v>305</v>
      </c>
      <c r="C63" s="118">
        <v>0</v>
      </c>
      <c r="D63" s="118">
        <v>0</v>
      </c>
      <c r="E63" s="118">
        <v>0</v>
      </c>
      <c r="F63" s="118">
        <v>0</v>
      </c>
      <c r="G63" s="118">
        <v>0</v>
      </c>
    </row>
    <row r="64" spans="1:7" x14ac:dyDescent="0.25">
      <c r="A64" s="116">
        <v>26</v>
      </c>
      <c r="B64" s="101" t="s">
        <v>306</v>
      </c>
      <c r="C64" s="118">
        <v>0</v>
      </c>
      <c r="D64" s="118">
        <v>0</v>
      </c>
      <c r="E64" s="118">
        <v>0</v>
      </c>
      <c r="F64" s="118">
        <v>0</v>
      </c>
      <c r="G64" s="118">
        <v>0</v>
      </c>
    </row>
    <row r="65" spans="1:7" x14ac:dyDescent="0.25">
      <c r="A65" s="116">
        <v>27</v>
      </c>
      <c r="B65" s="101" t="s">
        <v>307</v>
      </c>
      <c r="C65" s="118">
        <v>0</v>
      </c>
      <c r="D65" s="118">
        <v>0</v>
      </c>
      <c r="E65" s="118">
        <v>0</v>
      </c>
      <c r="F65" s="118">
        <v>0</v>
      </c>
      <c r="G65" s="118">
        <v>0</v>
      </c>
    </row>
    <row r="66" spans="1:7" x14ac:dyDescent="0.25">
      <c r="A66" s="116">
        <v>28</v>
      </c>
      <c r="B66" s="101" t="s">
        <v>308</v>
      </c>
      <c r="C66" s="118">
        <v>0</v>
      </c>
      <c r="D66" s="118">
        <v>0</v>
      </c>
      <c r="E66" s="118">
        <v>0</v>
      </c>
      <c r="F66" s="118">
        <f>1355892/100000</f>
        <v>13.558920000000001</v>
      </c>
      <c r="G66" s="118">
        <v>0</v>
      </c>
    </row>
    <row r="67" spans="1:7" x14ac:dyDescent="0.25">
      <c r="A67" s="169" t="s">
        <v>260</v>
      </c>
      <c r="B67" s="170"/>
      <c r="C67" s="122">
        <f>SUM(C39:C66)</f>
        <v>234.24023500000004</v>
      </c>
      <c r="D67" s="122">
        <f t="shared" ref="D67:G67" si="4">SUM(D39:D66)</f>
        <v>65.365489999999994</v>
      </c>
      <c r="E67" s="122">
        <f t="shared" si="4"/>
        <v>737.46066259999998</v>
      </c>
      <c r="F67" s="122">
        <f t="shared" si="4"/>
        <v>34.521320000000003</v>
      </c>
      <c r="G67" s="122">
        <f t="shared" si="4"/>
        <v>0</v>
      </c>
    </row>
    <row r="68" spans="1:7" ht="16.5" customHeight="1" x14ac:dyDescent="0.25">
      <c r="A68" s="10" t="s">
        <v>275</v>
      </c>
      <c r="B68" s="165" t="s">
        <v>276</v>
      </c>
      <c r="C68" s="166"/>
      <c r="D68" s="166"/>
      <c r="E68" s="166"/>
      <c r="F68" s="166"/>
      <c r="G68" s="167"/>
    </row>
    <row r="69" spans="1:7" x14ac:dyDescent="0.25">
      <c r="A69" s="116">
        <v>1</v>
      </c>
      <c r="B69" s="117" t="s">
        <v>309</v>
      </c>
      <c r="C69" s="118">
        <v>0</v>
      </c>
      <c r="D69" s="118">
        <v>0</v>
      </c>
      <c r="E69" s="118">
        <f>13712000/100000</f>
        <v>137.12</v>
      </c>
      <c r="F69" s="118">
        <v>0</v>
      </c>
      <c r="G69" s="118">
        <v>0</v>
      </c>
    </row>
    <row r="70" spans="1:7" ht="18.75" customHeight="1" x14ac:dyDescent="0.25">
      <c r="A70" s="116">
        <v>2</v>
      </c>
      <c r="B70" s="101" t="s">
        <v>283</v>
      </c>
      <c r="C70" s="118">
        <f>C10</f>
        <v>25.760639999999999</v>
      </c>
      <c r="D70" s="118">
        <v>0</v>
      </c>
      <c r="E70" s="118">
        <f>1288032/100000</f>
        <v>12.880319999999999</v>
      </c>
      <c r="F70" s="118">
        <v>0</v>
      </c>
      <c r="G70" s="118">
        <v>0</v>
      </c>
    </row>
    <row r="71" spans="1:7" ht="20.25" customHeight="1" x14ac:dyDescent="0.25">
      <c r="A71" s="116">
        <v>3</v>
      </c>
      <c r="B71" s="101" t="s">
        <v>284</v>
      </c>
      <c r="C71" s="118">
        <v>0</v>
      </c>
      <c r="D71" s="118">
        <v>0</v>
      </c>
      <c r="E71" s="118">
        <f>1582713/100000</f>
        <v>15.82713</v>
      </c>
      <c r="F71" s="118">
        <v>0</v>
      </c>
      <c r="G71" s="118">
        <v>0</v>
      </c>
    </row>
    <row r="72" spans="1:7" ht="21" customHeight="1" x14ac:dyDescent="0.25">
      <c r="A72" s="116">
        <v>4</v>
      </c>
      <c r="B72" s="101" t="s">
        <v>285</v>
      </c>
      <c r="C72" s="118">
        <v>0</v>
      </c>
      <c r="D72" s="118">
        <v>0</v>
      </c>
      <c r="E72" s="118">
        <f>1962887/100000</f>
        <v>19.628869999999999</v>
      </c>
      <c r="F72" s="118">
        <v>0</v>
      </c>
      <c r="G72" s="118">
        <v>0</v>
      </c>
    </row>
    <row r="73" spans="1:7" ht="30" x14ac:dyDescent="0.25">
      <c r="A73" s="116">
        <v>5</v>
      </c>
      <c r="B73" s="101" t="s">
        <v>286</v>
      </c>
      <c r="C73" s="118">
        <v>0</v>
      </c>
      <c r="D73" s="118">
        <v>0</v>
      </c>
      <c r="E73" s="118">
        <v>0</v>
      </c>
      <c r="F73" s="118">
        <v>0</v>
      </c>
      <c r="G73" s="118">
        <v>0</v>
      </c>
    </row>
    <row r="74" spans="1:7" x14ac:dyDescent="0.25">
      <c r="A74" s="116">
        <v>6</v>
      </c>
      <c r="B74" s="101" t="s">
        <v>310</v>
      </c>
      <c r="C74" s="118">
        <v>0</v>
      </c>
      <c r="D74" s="118">
        <v>0</v>
      </c>
      <c r="E74" s="118">
        <v>0</v>
      </c>
      <c r="F74" s="118">
        <v>0</v>
      </c>
      <c r="G74" s="118">
        <v>0</v>
      </c>
    </row>
    <row r="75" spans="1:7" x14ac:dyDescent="0.25">
      <c r="A75" s="116">
        <v>7</v>
      </c>
      <c r="B75" s="101" t="s">
        <v>288</v>
      </c>
      <c r="C75" s="118">
        <v>0</v>
      </c>
      <c r="D75" s="118">
        <v>0</v>
      </c>
      <c r="E75" s="118">
        <v>0</v>
      </c>
      <c r="F75" s="118">
        <f>1048120/100000</f>
        <v>10.481199999999999</v>
      </c>
      <c r="G75" s="118">
        <v>0</v>
      </c>
    </row>
    <row r="76" spans="1:7" x14ac:dyDescent="0.25">
      <c r="A76" s="116">
        <v>8</v>
      </c>
      <c r="B76" s="108" t="s">
        <v>289</v>
      </c>
      <c r="C76" s="118">
        <v>0</v>
      </c>
      <c r="D76" s="118">
        <v>0</v>
      </c>
      <c r="E76" s="118">
        <v>0</v>
      </c>
      <c r="F76" s="118">
        <v>0</v>
      </c>
      <c r="G76" s="118">
        <v>0</v>
      </c>
    </row>
    <row r="77" spans="1:7" x14ac:dyDescent="0.25">
      <c r="A77" s="116">
        <v>9</v>
      </c>
      <c r="B77" s="101" t="s">
        <v>290</v>
      </c>
      <c r="C77" s="118">
        <v>0</v>
      </c>
      <c r="D77" s="118">
        <v>0</v>
      </c>
      <c r="E77" s="118">
        <v>0</v>
      </c>
      <c r="F77" s="118">
        <v>0</v>
      </c>
      <c r="G77" s="118">
        <v>0</v>
      </c>
    </row>
    <row r="78" spans="1:7" x14ac:dyDescent="0.25">
      <c r="A78" s="116">
        <v>10</v>
      </c>
      <c r="B78" s="101" t="s">
        <v>290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</row>
    <row r="79" spans="1:7" x14ac:dyDescent="0.25">
      <c r="A79" s="116">
        <v>11</v>
      </c>
      <c r="B79" s="101" t="s">
        <v>291</v>
      </c>
      <c r="C79" s="118">
        <f>1076688/100000</f>
        <v>10.76688</v>
      </c>
      <c r="D79" s="118">
        <v>0</v>
      </c>
      <c r="E79" s="118">
        <v>0</v>
      </c>
      <c r="F79" s="118">
        <v>0</v>
      </c>
      <c r="G79" s="118">
        <v>0</v>
      </c>
    </row>
    <row r="80" spans="1:7" x14ac:dyDescent="0.25">
      <c r="A80" s="116">
        <v>12</v>
      </c>
      <c r="B80" s="101" t="s">
        <v>292</v>
      </c>
      <c r="C80" s="118">
        <f>2571938.5/100000</f>
        <v>25.719384999999999</v>
      </c>
      <c r="D80" s="118">
        <f>2571938.5/100000</f>
        <v>25.719384999999999</v>
      </c>
      <c r="E80" s="118">
        <v>0</v>
      </c>
      <c r="F80" s="118">
        <v>0</v>
      </c>
      <c r="G80" s="118">
        <v>0</v>
      </c>
    </row>
    <row r="81" spans="1:7" x14ac:dyDescent="0.25">
      <c r="A81" s="116">
        <v>13</v>
      </c>
      <c r="B81" s="101" t="s">
        <v>311</v>
      </c>
      <c r="C81" s="118">
        <v>0</v>
      </c>
      <c r="D81" s="118">
        <v>0</v>
      </c>
      <c r="E81" s="118">
        <v>0</v>
      </c>
      <c r="F81" s="118">
        <v>0</v>
      </c>
      <c r="G81" s="118">
        <v>0</v>
      </c>
    </row>
    <row r="82" spans="1:7" ht="16.5" customHeight="1" x14ac:dyDescent="0.25">
      <c r="A82" s="116">
        <v>14</v>
      </c>
      <c r="B82" s="101" t="s">
        <v>294</v>
      </c>
      <c r="C82" s="118">
        <v>0</v>
      </c>
      <c r="D82" s="118">
        <v>0</v>
      </c>
      <c r="E82" s="118">
        <v>0</v>
      </c>
      <c r="F82" s="118">
        <v>0</v>
      </c>
      <c r="G82" s="118">
        <v>0</v>
      </c>
    </row>
    <row r="83" spans="1:7" ht="30" x14ac:dyDescent="0.25">
      <c r="A83" s="116">
        <v>15</v>
      </c>
      <c r="B83" s="101" t="s">
        <v>295</v>
      </c>
      <c r="C83" s="118">
        <v>0</v>
      </c>
      <c r="D83" s="118">
        <v>0</v>
      </c>
      <c r="E83" s="118">
        <v>0</v>
      </c>
      <c r="F83" s="118">
        <v>0</v>
      </c>
      <c r="G83" s="118">
        <v>0</v>
      </c>
    </row>
    <row r="84" spans="1:7" ht="27.75" customHeight="1" x14ac:dyDescent="0.25">
      <c r="A84" s="116">
        <v>16</v>
      </c>
      <c r="B84" s="101" t="s">
        <v>296</v>
      </c>
      <c r="C84" s="118">
        <v>0</v>
      </c>
      <c r="D84" s="118">
        <v>0</v>
      </c>
      <c r="E84" s="118">
        <v>0</v>
      </c>
      <c r="F84" s="118">
        <v>0</v>
      </c>
      <c r="G84" s="118">
        <v>0</v>
      </c>
    </row>
    <row r="85" spans="1:7" ht="30" x14ac:dyDescent="0.25">
      <c r="A85" s="116">
        <v>17</v>
      </c>
      <c r="B85" s="101" t="s">
        <v>297</v>
      </c>
      <c r="C85" s="118">
        <v>0</v>
      </c>
      <c r="D85" s="118">
        <v>0</v>
      </c>
      <c r="E85" s="118">
        <v>0</v>
      </c>
      <c r="F85" s="118">
        <v>0</v>
      </c>
      <c r="G85" s="118">
        <v>0</v>
      </c>
    </row>
    <row r="86" spans="1:7" ht="24" customHeight="1" x14ac:dyDescent="0.25">
      <c r="A86" s="116">
        <v>18</v>
      </c>
      <c r="B86" s="101" t="s">
        <v>298</v>
      </c>
      <c r="C86" s="118">
        <v>0</v>
      </c>
      <c r="D86" s="118">
        <v>0</v>
      </c>
      <c r="E86" s="118">
        <v>0</v>
      </c>
      <c r="F86" s="118">
        <v>0</v>
      </c>
      <c r="G86" s="118">
        <v>0</v>
      </c>
    </row>
    <row r="87" spans="1:7" ht="24" customHeight="1" x14ac:dyDescent="0.25">
      <c r="A87" s="116">
        <v>19</v>
      </c>
      <c r="B87" s="101" t="s">
        <v>312</v>
      </c>
      <c r="C87" s="118">
        <v>0</v>
      </c>
      <c r="D87" s="118">
        <v>0</v>
      </c>
      <c r="E87" s="118">
        <v>0</v>
      </c>
      <c r="F87" s="118">
        <v>0</v>
      </c>
      <c r="G87" s="118">
        <v>0</v>
      </c>
    </row>
    <row r="88" spans="1:7" ht="34.5" customHeight="1" x14ac:dyDescent="0.25">
      <c r="A88" s="116">
        <v>20</v>
      </c>
      <c r="B88" s="101" t="s">
        <v>300</v>
      </c>
      <c r="C88" s="118">
        <v>0</v>
      </c>
      <c r="D88" s="118">
        <v>0</v>
      </c>
      <c r="E88" s="118">
        <v>0</v>
      </c>
      <c r="F88" s="118">
        <v>0</v>
      </c>
      <c r="G88" s="118">
        <v>0</v>
      </c>
    </row>
    <row r="89" spans="1:7" ht="45" x14ac:dyDescent="0.25">
      <c r="A89" s="116">
        <v>21</v>
      </c>
      <c r="B89" s="101" t="s">
        <v>301</v>
      </c>
      <c r="C89" s="118">
        <f>2672453/100000</f>
        <v>26.724530000000001</v>
      </c>
      <c r="D89" s="118">
        <v>0</v>
      </c>
      <c r="E89" s="118">
        <f>2672453/100000</f>
        <v>26.724530000000001</v>
      </c>
      <c r="F89" s="118">
        <v>0</v>
      </c>
      <c r="G89" s="118">
        <v>0</v>
      </c>
    </row>
    <row r="90" spans="1:7" ht="30" x14ac:dyDescent="0.25">
      <c r="A90" s="116">
        <v>22</v>
      </c>
      <c r="B90" s="101" t="s">
        <v>302</v>
      </c>
      <c r="C90" s="118">
        <v>0</v>
      </c>
      <c r="D90" s="118">
        <v>0</v>
      </c>
      <c r="E90" s="118">
        <v>0</v>
      </c>
      <c r="F90" s="118">
        <v>0</v>
      </c>
      <c r="G90" s="118">
        <v>0</v>
      </c>
    </row>
    <row r="91" spans="1:7" x14ac:dyDescent="0.25">
      <c r="A91" s="116">
        <v>23</v>
      </c>
      <c r="B91" s="101" t="s">
        <v>303</v>
      </c>
      <c r="C91" s="118">
        <v>0</v>
      </c>
      <c r="D91" s="118">
        <v>0</v>
      </c>
      <c r="E91" s="118">
        <v>0</v>
      </c>
      <c r="F91" s="118">
        <v>0</v>
      </c>
      <c r="G91" s="118">
        <v>0</v>
      </c>
    </row>
    <row r="92" spans="1:7" x14ac:dyDescent="0.25">
      <c r="A92" s="116">
        <v>24</v>
      </c>
      <c r="B92" s="101" t="s">
        <v>304</v>
      </c>
      <c r="C92" s="118">
        <f>3225804/100000</f>
        <v>32.258040000000001</v>
      </c>
      <c r="D92" s="118">
        <v>0</v>
      </c>
      <c r="E92" s="118">
        <f>1612902/100000</f>
        <v>16.129020000000001</v>
      </c>
      <c r="F92" s="118">
        <v>0</v>
      </c>
      <c r="G92" s="118">
        <v>0</v>
      </c>
    </row>
    <row r="93" spans="1:7" x14ac:dyDescent="0.25">
      <c r="A93" s="116">
        <v>25</v>
      </c>
      <c r="B93" s="101" t="s">
        <v>314</v>
      </c>
      <c r="C93" s="118">
        <f>5826586/100000</f>
        <v>58.265860000000004</v>
      </c>
      <c r="D93" s="118">
        <v>0</v>
      </c>
      <c r="E93" s="118">
        <f>2913293/100000</f>
        <v>29.132930000000002</v>
      </c>
      <c r="F93" s="118">
        <v>0</v>
      </c>
      <c r="G93" s="118">
        <v>0</v>
      </c>
    </row>
    <row r="94" spans="1:7" x14ac:dyDescent="0.25">
      <c r="A94" s="116">
        <v>26</v>
      </c>
      <c r="B94" s="101" t="s">
        <v>313</v>
      </c>
      <c r="C94" s="118">
        <f>2796408/100000</f>
        <v>27.964079999999999</v>
      </c>
      <c r="D94" s="118">
        <v>0</v>
      </c>
      <c r="E94" s="118">
        <f>1398204/100000</f>
        <v>13.98204</v>
      </c>
      <c r="F94" s="118">
        <v>0</v>
      </c>
      <c r="G94" s="118">
        <v>0</v>
      </c>
    </row>
    <row r="95" spans="1:7" x14ac:dyDescent="0.25">
      <c r="A95" s="116">
        <v>27</v>
      </c>
      <c r="B95" s="101" t="s">
        <v>307</v>
      </c>
      <c r="C95" s="118">
        <f>5226738/100000</f>
        <v>52.267380000000003</v>
      </c>
      <c r="D95" s="118">
        <v>0</v>
      </c>
      <c r="E95" s="118">
        <f>2613369/100000</f>
        <v>26.133690000000001</v>
      </c>
      <c r="F95" s="118">
        <v>0</v>
      </c>
      <c r="G95" s="118">
        <v>0</v>
      </c>
    </row>
    <row r="96" spans="1:7" x14ac:dyDescent="0.25">
      <c r="A96" s="116">
        <v>28</v>
      </c>
      <c r="B96" s="101" t="s">
        <v>308</v>
      </c>
      <c r="C96" s="118">
        <f>1355892/100000</f>
        <v>13.558920000000001</v>
      </c>
      <c r="D96" s="118">
        <v>0</v>
      </c>
      <c r="E96" s="118">
        <v>0</v>
      </c>
      <c r="F96" s="118">
        <v>0</v>
      </c>
      <c r="G96" s="118">
        <v>0</v>
      </c>
    </row>
    <row r="97" spans="1:7" x14ac:dyDescent="0.25">
      <c r="A97" s="169" t="s">
        <v>318</v>
      </c>
      <c r="B97" s="170"/>
      <c r="C97" s="122">
        <f>SUM(C69:C96)</f>
        <v>273.28571500000004</v>
      </c>
      <c r="D97" s="122">
        <f t="shared" ref="D97:G97" si="5">SUM(D69:D96)</f>
        <v>25.719384999999999</v>
      </c>
      <c r="E97" s="122">
        <f t="shared" si="5"/>
        <v>297.55853000000002</v>
      </c>
      <c r="F97" s="122">
        <f t="shared" si="5"/>
        <v>10.481199999999999</v>
      </c>
      <c r="G97" s="122">
        <f t="shared" si="5"/>
        <v>0</v>
      </c>
    </row>
    <row r="98" spans="1:7" ht="15" customHeight="1" x14ac:dyDescent="0.25">
      <c r="A98" s="10" t="s">
        <v>277</v>
      </c>
      <c r="B98" s="165" t="s">
        <v>278</v>
      </c>
      <c r="C98" s="166"/>
      <c r="D98" s="166"/>
      <c r="E98" s="166"/>
      <c r="F98" s="166"/>
      <c r="G98" s="167"/>
    </row>
    <row r="99" spans="1:7" x14ac:dyDescent="0.25">
      <c r="A99" s="119">
        <v>1</v>
      </c>
      <c r="B99" s="124" t="s">
        <v>309</v>
      </c>
      <c r="C99" s="120">
        <f t="shared" ref="C99:G108" si="6">C9+C39-C69</f>
        <v>137.12</v>
      </c>
      <c r="D99" s="120">
        <f t="shared" si="6"/>
        <v>137.12</v>
      </c>
      <c r="E99" s="120">
        <f t="shared" si="6"/>
        <v>0</v>
      </c>
      <c r="F99" s="120">
        <f t="shared" si="6"/>
        <v>0</v>
      </c>
      <c r="G99" s="120">
        <f t="shared" si="6"/>
        <v>0</v>
      </c>
    </row>
    <row r="100" spans="1:7" ht="22.5" customHeight="1" x14ac:dyDescent="0.25">
      <c r="A100" s="119">
        <v>2</v>
      </c>
      <c r="B100" s="108" t="s">
        <v>283</v>
      </c>
      <c r="C100" s="120">
        <f t="shared" si="6"/>
        <v>12.880320000000001</v>
      </c>
      <c r="D100" s="120">
        <f t="shared" si="6"/>
        <v>51.521280000000004</v>
      </c>
      <c r="E100" s="120">
        <f t="shared" si="6"/>
        <v>38.640960000000007</v>
      </c>
      <c r="F100" s="120">
        <f t="shared" si="6"/>
        <v>38.640960000000007</v>
      </c>
      <c r="G100" s="120">
        <f t="shared" si="6"/>
        <v>38.640960000000007</v>
      </c>
    </row>
    <row r="101" spans="1:7" ht="18" customHeight="1" x14ac:dyDescent="0.25">
      <c r="A101" s="119">
        <v>3</v>
      </c>
      <c r="B101" s="108" t="s">
        <v>284</v>
      </c>
      <c r="C101" s="120">
        <f t="shared" si="6"/>
        <v>15.82713</v>
      </c>
      <c r="D101" s="120">
        <f t="shared" si="6"/>
        <v>15.82713</v>
      </c>
      <c r="E101" s="120">
        <f t="shared" si="6"/>
        <v>0</v>
      </c>
      <c r="F101" s="120">
        <f t="shared" si="6"/>
        <v>0</v>
      </c>
      <c r="G101" s="120">
        <f t="shared" si="6"/>
        <v>0</v>
      </c>
    </row>
    <row r="102" spans="1:7" ht="21" customHeight="1" x14ac:dyDescent="0.25">
      <c r="A102" s="119">
        <v>4</v>
      </c>
      <c r="B102" s="108" t="s">
        <v>285</v>
      </c>
      <c r="C102" s="120">
        <f t="shared" si="6"/>
        <v>19.628869999999999</v>
      </c>
      <c r="D102" s="120">
        <f t="shared" si="6"/>
        <v>19.628869999999999</v>
      </c>
      <c r="E102" s="120">
        <f t="shared" si="6"/>
        <v>0</v>
      </c>
      <c r="F102" s="120">
        <f t="shared" si="6"/>
        <v>0</v>
      </c>
      <c r="G102" s="120">
        <f t="shared" si="6"/>
        <v>0</v>
      </c>
    </row>
    <row r="103" spans="1:7" ht="30" x14ac:dyDescent="0.25">
      <c r="A103" s="119">
        <v>5</v>
      </c>
      <c r="B103" s="108" t="s">
        <v>325</v>
      </c>
      <c r="C103" s="120">
        <f t="shared" si="6"/>
        <v>0</v>
      </c>
      <c r="D103" s="120">
        <f t="shared" si="6"/>
        <v>0</v>
      </c>
      <c r="E103" s="120">
        <f t="shared" si="6"/>
        <v>130.09717000000001</v>
      </c>
      <c r="F103" s="120">
        <f t="shared" si="6"/>
        <v>130.09717000000001</v>
      </c>
      <c r="G103" s="120">
        <f t="shared" si="6"/>
        <v>130.09717000000001</v>
      </c>
    </row>
    <row r="104" spans="1:7" x14ac:dyDescent="0.25">
      <c r="A104" s="119">
        <v>6</v>
      </c>
      <c r="B104" s="108" t="s">
        <v>287</v>
      </c>
      <c r="C104" s="120">
        <f t="shared" si="6"/>
        <v>0</v>
      </c>
      <c r="D104" s="120">
        <f t="shared" si="6"/>
        <v>0</v>
      </c>
      <c r="E104" s="120">
        <f t="shared" si="6"/>
        <v>11.1679926</v>
      </c>
      <c r="F104" s="120">
        <f t="shared" si="6"/>
        <v>11.1679926</v>
      </c>
      <c r="G104" s="120">
        <f t="shared" si="6"/>
        <v>11.1679926</v>
      </c>
    </row>
    <row r="105" spans="1:7" x14ac:dyDescent="0.25">
      <c r="A105" s="119">
        <v>7</v>
      </c>
      <c r="B105" s="108" t="s">
        <v>288</v>
      </c>
      <c r="C105" s="120">
        <f t="shared" si="6"/>
        <v>0</v>
      </c>
      <c r="D105" s="120">
        <f t="shared" si="6"/>
        <v>0</v>
      </c>
      <c r="E105" s="120">
        <f t="shared" si="6"/>
        <v>0</v>
      </c>
      <c r="F105" s="120">
        <f t="shared" si="6"/>
        <v>10.481199999999999</v>
      </c>
      <c r="G105" s="120">
        <f t="shared" si="6"/>
        <v>10.481199999999999</v>
      </c>
    </row>
    <row r="106" spans="1:7" x14ac:dyDescent="0.25">
      <c r="A106" s="119">
        <v>8</v>
      </c>
      <c r="B106" s="108" t="s">
        <v>289</v>
      </c>
      <c r="C106" s="120">
        <f t="shared" si="6"/>
        <v>13.04439</v>
      </c>
      <c r="D106" s="120">
        <f t="shared" si="6"/>
        <v>13.04439</v>
      </c>
      <c r="E106" s="120">
        <f t="shared" si="6"/>
        <v>13.04439</v>
      </c>
      <c r="F106" s="120">
        <f t="shared" si="6"/>
        <v>13.04439</v>
      </c>
      <c r="G106" s="120">
        <f t="shared" si="6"/>
        <v>13.04439</v>
      </c>
    </row>
    <row r="107" spans="1:7" x14ac:dyDescent="0.25">
      <c r="A107" s="119">
        <v>9</v>
      </c>
      <c r="B107" s="108" t="s">
        <v>290</v>
      </c>
      <c r="C107" s="120">
        <f t="shared" si="6"/>
        <v>18.255880000000001</v>
      </c>
      <c r="D107" s="120">
        <f t="shared" si="6"/>
        <v>18.255880000000001</v>
      </c>
      <c r="E107" s="120">
        <f t="shared" si="6"/>
        <v>18.255880000000001</v>
      </c>
      <c r="F107" s="120">
        <f t="shared" si="6"/>
        <v>18.255880000000001</v>
      </c>
      <c r="G107" s="120">
        <f t="shared" si="6"/>
        <v>18.255880000000001</v>
      </c>
    </row>
    <row r="108" spans="1:7" x14ac:dyDescent="0.25">
      <c r="A108" s="119">
        <v>10</v>
      </c>
      <c r="B108" s="108" t="s">
        <v>290</v>
      </c>
      <c r="C108" s="120">
        <f t="shared" si="6"/>
        <v>6.4092500000000001</v>
      </c>
      <c r="D108" s="120">
        <f t="shared" si="6"/>
        <v>6.4092500000000001</v>
      </c>
      <c r="E108" s="120">
        <f t="shared" si="6"/>
        <v>6.4092500000000001</v>
      </c>
      <c r="F108" s="120">
        <f t="shared" si="6"/>
        <v>6.4092500000000001</v>
      </c>
      <c r="G108" s="120">
        <f t="shared" si="6"/>
        <v>6.4092500000000001</v>
      </c>
    </row>
    <row r="109" spans="1:7" x14ac:dyDescent="0.25">
      <c r="A109" s="119">
        <v>11</v>
      </c>
      <c r="B109" s="108" t="s">
        <v>291</v>
      </c>
      <c r="C109" s="120">
        <f t="shared" ref="C109:G118" si="7">C19+C49-C79</f>
        <v>10.76688</v>
      </c>
      <c r="D109" s="120">
        <f t="shared" si="7"/>
        <v>10.76688</v>
      </c>
      <c r="E109" s="120">
        <f t="shared" si="7"/>
        <v>10.76688</v>
      </c>
      <c r="F109" s="120">
        <f t="shared" si="7"/>
        <v>10.76688</v>
      </c>
      <c r="G109" s="120">
        <f t="shared" si="7"/>
        <v>10.76688</v>
      </c>
    </row>
    <row r="110" spans="1:7" x14ac:dyDescent="0.25">
      <c r="A110" s="119">
        <v>12</v>
      </c>
      <c r="B110" s="108" t="s">
        <v>322</v>
      </c>
      <c r="C110" s="120">
        <f t="shared" si="7"/>
        <v>25.719384999999999</v>
      </c>
      <c r="D110" s="120">
        <f t="shared" si="7"/>
        <v>0</v>
      </c>
      <c r="E110" s="120">
        <f t="shared" si="7"/>
        <v>51.438769999999998</v>
      </c>
      <c r="F110" s="120">
        <f t="shared" si="7"/>
        <v>51.438769999999998</v>
      </c>
      <c r="G110" s="120">
        <f t="shared" si="7"/>
        <v>51.438769999999998</v>
      </c>
    </row>
    <row r="111" spans="1:7" x14ac:dyDescent="0.25">
      <c r="A111" s="119">
        <v>13</v>
      </c>
      <c r="B111" s="108" t="s">
        <v>311</v>
      </c>
      <c r="C111" s="120">
        <f t="shared" si="7"/>
        <v>0</v>
      </c>
      <c r="D111" s="120">
        <f t="shared" si="7"/>
        <v>0</v>
      </c>
      <c r="E111" s="120">
        <f t="shared" si="7"/>
        <v>196.89033000000001</v>
      </c>
      <c r="F111" s="120">
        <f t="shared" si="7"/>
        <v>196.89033000000001</v>
      </c>
      <c r="G111" s="120">
        <f t="shared" si="7"/>
        <v>196.89033000000001</v>
      </c>
    </row>
    <row r="112" spans="1:7" ht="20.25" customHeight="1" x14ac:dyDescent="0.25">
      <c r="A112" s="119">
        <v>14</v>
      </c>
      <c r="B112" s="108" t="s">
        <v>294</v>
      </c>
      <c r="C112" s="120">
        <f t="shared" si="7"/>
        <v>0</v>
      </c>
      <c r="D112" s="120">
        <f t="shared" si="7"/>
        <v>0</v>
      </c>
      <c r="E112" s="120">
        <f t="shared" si="7"/>
        <v>196.89033000000001</v>
      </c>
      <c r="F112" s="120">
        <f t="shared" si="7"/>
        <v>196.89033000000001</v>
      </c>
      <c r="G112" s="120">
        <f t="shared" si="7"/>
        <v>196.89033000000001</v>
      </c>
    </row>
    <row r="113" spans="1:7" ht="30" x14ac:dyDescent="0.25">
      <c r="A113" s="119">
        <v>15</v>
      </c>
      <c r="B113" s="108" t="s">
        <v>326</v>
      </c>
      <c r="C113" s="120">
        <f t="shared" si="7"/>
        <v>0</v>
      </c>
      <c r="D113" s="120">
        <f t="shared" si="7"/>
        <v>0</v>
      </c>
      <c r="E113" s="120">
        <f t="shared" si="7"/>
        <v>150.97606999999999</v>
      </c>
      <c r="F113" s="120">
        <f t="shared" si="7"/>
        <v>150.97606999999999</v>
      </c>
      <c r="G113" s="120">
        <f t="shared" si="7"/>
        <v>150.97606999999999</v>
      </c>
    </row>
    <row r="114" spans="1:7" ht="30" x14ac:dyDescent="0.25">
      <c r="A114" s="119">
        <v>16</v>
      </c>
      <c r="B114" s="108" t="s">
        <v>327</v>
      </c>
      <c r="C114" s="120">
        <f t="shared" si="7"/>
        <v>6.3980699999999997</v>
      </c>
      <c r="D114" s="120">
        <f t="shared" si="7"/>
        <v>6.3980699999999997</v>
      </c>
      <c r="E114" s="120">
        <f t="shared" si="7"/>
        <v>6.3980699999999997</v>
      </c>
      <c r="F114" s="120">
        <f t="shared" si="7"/>
        <v>6.3980699999999997</v>
      </c>
      <c r="G114" s="120">
        <f t="shared" si="7"/>
        <v>6.3980699999999997</v>
      </c>
    </row>
    <row r="115" spans="1:7" ht="30" x14ac:dyDescent="0.25">
      <c r="A115" s="119">
        <v>17</v>
      </c>
      <c r="B115" s="108" t="s">
        <v>297</v>
      </c>
      <c r="C115" s="120">
        <f t="shared" si="7"/>
        <v>10.543810000000001</v>
      </c>
      <c r="D115" s="120">
        <f t="shared" si="7"/>
        <v>10.543810000000001</v>
      </c>
      <c r="E115" s="120">
        <f t="shared" si="7"/>
        <v>10.543810000000001</v>
      </c>
      <c r="F115" s="120">
        <f t="shared" si="7"/>
        <v>10.543810000000001</v>
      </c>
      <c r="G115" s="120">
        <f t="shared" si="7"/>
        <v>10.543810000000001</v>
      </c>
    </row>
    <row r="116" spans="1:7" ht="25.5" customHeight="1" x14ac:dyDescent="0.25">
      <c r="A116" s="119">
        <v>18</v>
      </c>
      <c r="B116" s="108" t="s">
        <v>298</v>
      </c>
      <c r="C116" s="120">
        <f t="shared" si="7"/>
        <v>10.36777</v>
      </c>
      <c r="D116" s="120">
        <f t="shared" si="7"/>
        <v>10.36777</v>
      </c>
      <c r="E116" s="120">
        <f t="shared" si="7"/>
        <v>10.36777</v>
      </c>
      <c r="F116" s="120">
        <f t="shared" si="7"/>
        <v>10.36777</v>
      </c>
      <c r="G116" s="120">
        <f t="shared" si="7"/>
        <v>10.36777</v>
      </c>
    </row>
    <row r="117" spans="1:7" ht="30" x14ac:dyDescent="0.25">
      <c r="A117" s="119">
        <v>19</v>
      </c>
      <c r="B117" s="108" t="s">
        <v>299</v>
      </c>
      <c r="C117" s="120">
        <f t="shared" si="7"/>
        <v>5.7487399999999997</v>
      </c>
      <c r="D117" s="120">
        <f t="shared" si="7"/>
        <v>5.7487399999999997</v>
      </c>
      <c r="E117" s="120">
        <f t="shared" si="7"/>
        <v>5.7487399999999997</v>
      </c>
      <c r="F117" s="120">
        <f t="shared" si="7"/>
        <v>5.7487399999999997</v>
      </c>
      <c r="G117" s="120">
        <f t="shared" si="7"/>
        <v>5.7487399999999997</v>
      </c>
    </row>
    <row r="118" spans="1:7" ht="30.75" customHeight="1" x14ac:dyDescent="0.25">
      <c r="A118" s="119">
        <v>20</v>
      </c>
      <c r="B118" s="108" t="s">
        <v>300</v>
      </c>
      <c r="C118" s="120">
        <f t="shared" si="7"/>
        <v>5.4954599999999996</v>
      </c>
      <c r="D118" s="120">
        <f t="shared" si="7"/>
        <v>5.4954599999999996</v>
      </c>
      <c r="E118" s="120">
        <f t="shared" si="7"/>
        <v>5.4954599999999996</v>
      </c>
      <c r="F118" s="120">
        <f t="shared" si="7"/>
        <v>5.4954599999999996</v>
      </c>
      <c r="G118" s="120">
        <f t="shared" si="7"/>
        <v>5.4954599999999996</v>
      </c>
    </row>
    <row r="119" spans="1:7" ht="39" customHeight="1" x14ac:dyDescent="0.25">
      <c r="A119" s="119">
        <v>21</v>
      </c>
      <c r="B119" s="108" t="s">
        <v>301</v>
      </c>
      <c r="C119" s="120">
        <f t="shared" ref="C119:G126" si="8">C29+C59-C89</f>
        <v>26.724530000000001</v>
      </c>
      <c r="D119" s="120">
        <f t="shared" si="8"/>
        <v>53.449060000000003</v>
      </c>
      <c r="E119" s="120">
        <f t="shared" si="8"/>
        <v>26.724530000000001</v>
      </c>
      <c r="F119" s="120">
        <f t="shared" si="8"/>
        <v>26.724530000000001</v>
      </c>
      <c r="G119" s="120">
        <f t="shared" si="8"/>
        <v>26.724530000000001</v>
      </c>
    </row>
    <row r="120" spans="1:7" ht="34.5" customHeight="1" x14ac:dyDescent="0.25">
      <c r="A120" s="119">
        <v>22</v>
      </c>
      <c r="B120" s="108" t="s">
        <v>280</v>
      </c>
      <c r="C120" s="120">
        <f t="shared" si="8"/>
        <v>5.4844900000000001</v>
      </c>
      <c r="D120" s="120">
        <f t="shared" si="8"/>
        <v>5.4844900000000001</v>
      </c>
      <c r="E120" s="120">
        <f t="shared" si="8"/>
        <v>5.4844900000000001</v>
      </c>
      <c r="F120" s="120">
        <f t="shared" si="8"/>
        <v>5.4844900000000001</v>
      </c>
      <c r="G120" s="120">
        <f t="shared" si="8"/>
        <v>5.4844900000000001</v>
      </c>
    </row>
    <row r="121" spans="1:7" ht="30" x14ac:dyDescent="0.25">
      <c r="A121" s="119">
        <v>23</v>
      </c>
      <c r="B121" s="108" t="s">
        <v>281</v>
      </c>
      <c r="C121" s="120">
        <f t="shared" si="8"/>
        <v>21.55875</v>
      </c>
      <c r="D121" s="120">
        <f t="shared" si="8"/>
        <v>21.55875</v>
      </c>
      <c r="E121" s="120">
        <f t="shared" si="8"/>
        <v>21.55875</v>
      </c>
      <c r="F121" s="120">
        <f t="shared" si="8"/>
        <v>21.55875</v>
      </c>
      <c r="G121" s="120">
        <f t="shared" si="8"/>
        <v>21.55875</v>
      </c>
    </row>
    <row r="122" spans="1:7" x14ac:dyDescent="0.25">
      <c r="A122" s="125">
        <v>24</v>
      </c>
      <c r="B122" s="126" t="s">
        <v>304</v>
      </c>
      <c r="C122" s="127">
        <f t="shared" si="8"/>
        <v>32.258040000000001</v>
      </c>
      <c r="D122" s="127">
        <f t="shared" si="8"/>
        <v>32.258040000000001</v>
      </c>
      <c r="E122" s="127">
        <f t="shared" si="8"/>
        <v>16.129020000000001</v>
      </c>
      <c r="F122" s="127">
        <f t="shared" si="8"/>
        <v>16.129020000000001</v>
      </c>
      <c r="G122" s="127">
        <f t="shared" si="8"/>
        <v>16.129020000000001</v>
      </c>
    </row>
    <row r="123" spans="1:7" x14ac:dyDescent="0.25">
      <c r="A123" s="119">
        <v>25</v>
      </c>
      <c r="B123" s="108" t="s">
        <v>314</v>
      </c>
      <c r="C123" s="120">
        <f t="shared" si="8"/>
        <v>58.265860000000004</v>
      </c>
      <c r="D123" s="120">
        <f t="shared" si="8"/>
        <v>58.265860000000004</v>
      </c>
      <c r="E123" s="120">
        <f t="shared" si="8"/>
        <v>29.132930000000002</v>
      </c>
      <c r="F123" s="120">
        <f t="shared" si="8"/>
        <v>29.132930000000002</v>
      </c>
      <c r="G123" s="120">
        <f t="shared" si="8"/>
        <v>29.132930000000002</v>
      </c>
    </row>
    <row r="124" spans="1:7" x14ac:dyDescent="0.25">
      <c r="A124" s="119">
        <v>26</v>
      </c>
      <c r="B124" s="108" t="s">
        <v>306</v>
      </c>
      <c r="C124" s="120">
        <f t="shared" si="8"/>
        <v>27.964079999999999</v>
      </c>
      <c r="D124" s="120">
        <f t="shared" si="8"/>
        <v>27.964079999999999</v>
      </c>
      <c r="E124" s="120">
        <f t="shared" si="8"/>
        <v>13.98204</v>
      </c>
      <c r="F124" s="120">
        <f t="shared" si="8"/>
        <v>13.98204</v>
      </c>
      <c r="G124" s="120">
        <f t="shared" si="8"/>
        <v>13.98204</v>
      </c>
    </row>
    <row r="125" spans="1:7" x14ac:dyDescent="0.25">
      <c r="A125" s="119">
        <v>27</v>
      </c>
      <c r="B125" s="108" t="s">
        <v>307</v>
      </c>
      <c r="C125" s="120">
        <f t="shared" si="8"/>
        <v>52.267380000000003</v>
      </c>
      <c r="D125" s="120">
        <f t="shared" si="8"/>
        <v>52.267380000000003</v>
      </c>
      <c r="E125" s="120">
        <f t="shared" si="8"/>
        <v>26.133690000000001</v>
      </c>
      <c r="F125" s="120">
        <f t="shared" si="8"/>
        <v>26.133690000000001</v>
      </c>
      <c r="G125" s="120">
        <f t="shared" si="8"/>
        <v>26.133690000000001</v>
      </c>
    </row>
    <row r="126" spans="1:7" x14ac:dyDescent="0.25">
      <c r="A126" s="119">
        <v>28</v>
      </c>
      <c r="B126" s="108" t="s">
        <v>324</v>
      </c>
      <c r="C126" s="120">
        <f t="shared" si="8"/>
        <v>0</v>
      </c>
      <c r="D126" s="120">
        <f t="shared" si="8"/>
        <v>0</v>
      </c>
      <c r="E126" s="120">
        <f t="shared" si="8"/>
        <v>0</v>
      </c>
      <c r="F126" s="120">
        <f t="shared" si="8"/>
        <v>13.558920000000001</v>
      </c>
      <c r="G126" s="120">
        <f t="shared" si="8"/>
        <v>13.558920000000001</v>
      </c>
    </row>
    <row r="127" spans="1:7" x14ac:dyDescent="0.25">
      <c r="A127" s="119"/>
      <c r="B127" s="128" t="s">
        <v>319</v>
      </c>
      <c r="C127" s="129">
        <f t="shared" ref="C127:F127" si="9">SUM(C99:C126)</f>
        <v>522.72908499999994</v>
      </c>
      <c r="D127" s="129">
        <f t="shared" si="9"/>
        <v>562.37518999999998</v>
      </c>
      <c r="E127" s="129">
        <f t="shared" si="9"/>
        <v>1002.2773225999998</v>
      </c>
      <c r="F127" s="129">
        <f t="shared" si="9"/>
        <v>1026.3174425999998</v>
      </c>
      <c r="G127" s="129">
        <f>SUM(G99:G126)</f>
        <v>1026.3174425999998</v>
      </c>
    </row>
    <row r="128" spans="1:7" x14ac:dyDescent="0.25">
      <c r="A128" s="4"/>
      <c r="B128" s="4"/>
      <c r="C128" s="4"/>
      <c r="D128" s="4"/>
      <c r="E128" s="4"/>
      <c r="F128" s="4"/>
      <c r="G128" s="4"/>
    </row>
    <row r="129" spans="1:7" x14ac:dyDescent="0.25">
      <c r="A129" s="4"/>
      <c r="B129" s="4"/>
      <c r="C129" s="4"/>
      <c r="D129" s="4"/>
      <c r="E129" s="4"/>
      <c r="F129" s="4"/>
      <c r="G129" s="4"/>
    </row>
    <row r="130" spans="1:7" x14ac:dyDescent="0.25">
      <c r="A130" s="4"/>
      <c r="B130" s="4"/>
      <c r="C130" s="4"/>
      <c r="D130" s="4"/>
      <c r="E130" s="4"/>
      <c r="F130" s="4"/>
      <c r="G130" s="4"/>
    </row>
    <row r="131" spans="1:7" x14ac:dyDescent="0.25">
      <c r="A131" s="4"/>
      <c r="B131" s="4"/>
      <c r="C131" s="4"/>
      <c r="D131" s="4"/>
      <c r="E131" s="4"/>
      <c r="F131" s="4"/>
      <c r="G131" s="4"/>
    </row>
    <row r="132" spans="1:7" x14ac:dyDescent="0.25">
      <c r="A132" s="4"/>
      <c r="B132" s="4"/>
      <c r="C132" s="4"/>
      <c r="D132" s="4"/>
      <c r="E132" s="4"/>
      <c r="F132" s="4"/>
      <c r="G132" s="4"/>
    </row>
    <row r="133" spans="1:7" x14ac:dyDescent="0.25">
      <c r="A133" s="4"/>
      <c r="B133" s="4"/>
      <c r="C133" s="4"/>
      <c r="D133" s="4"/>
      <c r="E133" s="4"/>
      <c r="F133" s="4"/>
      <c r="G133" s="4"/>
    </row>
    <row r="134" spans="1:7" x14ac:dyDescent="0.25">
      <c r="A134" s="4"/>
      <c r="B134" s="4"/>
      <c r="C134" s="4"/>
      <c r="D134" s="4"/>
      <c r="E134" s="4"/>
      <c r="F134" s="4"/>
      <c r="G134" s="4"/>
    </row>
    <row r="135" spans="1:7" x14ac:dyDescent="0.25">
      <c r="A135" s="4"/>
      <c r="B135" s="4"/>
      <c r="C135" s="4"/>
      <c r="D135" s="4"/>
      <c r="E135" s="4"/>
      <c r="F135" s="4"/>
      <c r="G135" s="4"/>
    </row>
    <row r="136" spans="1:7" x14ac:dyDescent="0.25">
      <c r="A136" s="4"/>
      <c r="B136" s="4"/>
      <c r="C136" s="4"/>
      <c r="D136" s="4"/>
      <c r="E136" s="4"/>
      <c r="F136" s="4"/>
      <c r="G136" s="4"/>
    </row>
    <row r="137" spans="1:7" x14ac:dyDescent="0.25">
      <c r="A137" s="4"/>
      <c r="B137" s="4"/>
      <c r="C137" s="4"/>
      <c r="D137" s="4"/>
      <c r="E137" s="4"/>
      <c r="F137" s="4"/>
      <c r="G137" s="4"/>
    </row>
    <row r="138" spans="1:7" x14ac:dyDescent="0.25">
      <c r="A138" s="4"/>
      <c r="B138" s="4"/>
      <c r="C138" s="4"/>
      <c r="D138" s="4"/>
      <c r="E138" s="4"/>
      <c r="F138" s="4"/>
      <c r="G138" s="4"/>
    </row>
    <row r="139" spans="1:7" x14ac:dyDescent="0.25">
      <c r="A139" s="4"/>
      <c r="B139" s="4"/>
      <c r="C139" s="4"/>
      <c r="D139" s="4"/>
      <c r="E139" s="4"/>
      <c r="F139" s="4"/>
      <c r="G139" s="4"/>
    </row>
    <row r="140" spans="1:7" x14ac:dyDescent="0.25">
      <c r="A140" s="4"/>
      <c r="B140" s="4"/>
      <c r="C140" s="4"/>
      <c r="D140" s="4"/>
      <c r="E140" s="4"/>
      <c r="F140" s="4"/>
      <c r="G140" s="4"/>
    </row>
    <row r="141" spans="1:7" x14ac:dyDescent="0.25">
      <c r="A141" s="4"/>
      <c r="B141" s="4"/>
      <c r="C141" s="4"/>
      <c r="D141" s="4"/>
      <c r="E141" s="4"/>
      <c r="F141" s="4"/>
      <c r="G141" s="4"/>
    </row>
    <row r="142" spans="1:7" x14ac:dyDescent="0.25">
      <c r="A142" s="4"/>
      <c r="B142" s="4"/>
      <c r="C142" s="4"/>
      <c r="D142" s="4"/>
      <c r="E142" s="4"/>
      <c r="F142" s="4"/>
      <c r="G142" s="4"/>
    </row>
    <row r="143" spans="1:7" x14ac:dyDescent="0.25">
      <c r="A143" s="4"/>
      <c r="B143" s="4"/>
      <c r="C143" s="4"/>
      <c r="D143" s="4"/>
      <c r="E143" s="4"/>
      <c r="F143" s="4"/>
      <c r="G143" s="4"/>
    </row>
    <row r="144" spans="1:7" x14ac:dyDescent="0.25">
      <c r="A144" s="4"/>
      <c r="B144" s="4"/>
      <c r="C144" s="4"/>
      <c r="D144" s="4"/>
      <c r="E144" s="4"/>
      <c r="F144" s="4"/>
      <c r="G144" s="4"/>
    </row>
    <row r="145" spans="1:7" x14ac:dyDescent="0.25">
      <c r="A145" s="4"/>
      <c r="B145" s="4"/>
      <c r="C145" s="4"/>
      <c r="D145" s="4"/>
      <c r="E145" s="4"/>
      <c r="F145" s="4"/>
      <c r="G145" s="4"/>
    </row>
    <row r="146" spans="1:7" x14ac:dyDescent="0.25">
      <c r="A146" s="4"/>
      <c r="B146" s="4"/>
      <c r="C146" s="4"/>
      <c r="D146" s="4"/>
      <c r="E146" s="4"/>
      <c r="F146" s="4"/>
      <c r="G146" s="4"/>
    </row>
    <row r="147" spans="1:7" x14ac:dyDescent="0.25">
      <c r="A147" s="4"/>
      <c r="B147" s="4"/>
      <c r="C147" s="4"/>
      <c r="D147" s="4"/>
      <c r="E147" s="4"/>
      <c r="F147" s="4"/>
      <c r="G147" s="4"/>
    </row>
    <row r="148" spans="1:7" x14ac:dyDescent="0.25">
      <c r="A148" s="4"/>
      <c r="B148" s="4"/>
      <c r="C148" s="4"/>
      <c r="D148" s="4"/>
      <c r="E148" s="4"/>
      <c r="F148" s="4"/>
      <c r="G148" s="4"/>
    </row>
    <row r="149" spans="1:7" x14ac:dyDescent="0.25">
      <c r="A149" s="4"/>
      <c r="B149" s="4"/>
      <c r="C149" s="4"/>
      <c r="D149" s="4"/>
      <c r="E149" s="4"/>
      <c r="F149" s="4"/>
      <c r="G149" s="4"/>
    </row>
    <row r="150" spans="1:7" x14ac:dyDescent="0.25">
      <c r="A150" s="4"/>
      <c r="B150" s="4"/>
      <c r="C150" s="4"/>
      <c r="D150" s="4"/>
      <c r="E150" s="4"/>
      <c r="F150" s="4"/>
      <c r="G150" s="4"/>
    </row>
    <row r="151" spans="1:7" x14ac:dyDescent="0.25">
      <c r="A151" s="4"/>
      <c r="B151" s="4"/>
      <c r="C151" s="4"/>
      <c r="D151" s="4"/>
      <c r="E151" s="4"/>
      <c r="F151" s="4"/>
      <c r="G151" s="4"/>
    </row>
    <row r="152" spans="1:7" x14ac:dyDescent="0.25">
      <c r="A152" s="4"/>
      <c r="B152" s="4"/>
      <c r="C152" s="4"/>
      <c r="D152" s="4"/>
      <c r="E152" s="4"/>
      <c r="F152" s="4"/>
      <c r="G152" s="4"/>
    </row>
    <row r="153" spans="1:7" x14ac:dyDescent="0.25">
      <c r="A153" s="4"/>
      <c r="B153" s="4"/>
      <c r="C153" s="4"/>
      <c r="D153" s="4"/>
      <c r="E153" s="4"/>
      <c r="F153" s="4"/>
      <c r="G153" s="4"/>
    </row>
    <row r="154" spans="1:7" x14ac:dyDescent="0.25">
      <c r="A154" s="4"/>
      <c r="B154" s="4"/>
      <c r="C154" s="4"/>
      <c r="D154" s="4"/>
      <c r="E154" s="4"/>
      <c r="F154" s="4"/>
      <c r="G154" s="4"/>
    </row>
    <row r="155" spans="1:7" x14ac:dyDescent="0.25">
      <c r="A155" s="4"/>
      <c r="B155" s="4"/>
      <c r="C155" s="4"/>
      <c r="D155" s="4"/>
      <c r="E155" s="4"/>
      <c r="F155" s="4"/>
      <c r="G155" s="4"/>
    </row>
    <row r="156" spans="1:7" x14ac:dyDescent="0.25">
      <c r="A156" s="4"/>
      <c r="B156" s="4"/>
      <c r="C156" s="4"/>
      <c r="D156" s="4"/>
      <c r="E156" s="4"/>
      <c r="F156" s="4"/>
      <c r="G156" s="4"/>
    </row>
    <row r="157" spans="1:7" x14ac:dyDescent="0.25">
      <c r="A157" s="4"/>
      <c r="B157" s="4"/>
      <c r="C157" s="4"/>
      <c r="D157" s="4"/>
      <c r="E157" s="4"/>
      <c r="F157" s="4"/>
      <c r="G157" s="4"/>
    </row>
    <row r="158" spans="1:7" x14ac:dyDescent="0.25">
      <c r="A158" s="4"/>
      <c r="B158" s="4"/>
      <c r="C158" s="4"/>
      <c r="D158" s="4"/>
      <c r="E158" s="4"/>
      <c r="F158" s="4"/>
      <c r="G158" s="4"/>
    </row>
    <row r="159" spans="1:7" x14ac:dyDescent="0.25">
      <c r="A159" s="4"/>
      <c r="B159" s="4"/>
      <c r="C159" s="4"/>
      <c r="D159" s="4"/>
      <c r="E159" s="4"/>
      <c r="F159" s="4"/>
      <c r="G159" s="4"/>
    </row>
    <row r="160" spans="1:7" x14ac:dyDescent="0.25">
      <c r="A160" s="4"/>
      <c r="B160" s="4"/>
      <c r="C160" s="4"/>
      <c r="D160" s="4"/>
      <c r="E160" s="4"/>
      <c r="F160" s="4"/>
      <c r="G160" s="4"/>
    </row>
    <row r="161" spans="1:7" x14ac:dyDescent="0.25">
      <c r="A161" s="4"/>
      <c r="B161" s="4"/>
      <c r="C161" s="4"/>
      <c r="D161" s="4"/>
      <c r="E161" s="4"/>
      <c r="F161" s="4"/>
      <c r="G161" s="4"/>
    </row>
    <row r="162" spans="1:7" x14ac:dyDescent="0.25">
      <c r="A162" s="4"/>
      <c r="B162" s="4"/>
      <c r="C162" s="4"/>
      <c r="D162" s="4"/>
      <c r="E162" s="4"/>
      <c r="F162" s="4"/>
      <c r="G162" s="4"/>
    </row>
    <row r="163" spans="1:7" x14ac:dyDescent="0.25">
      <c r="A163" s="4"/>
      <c r="B163" s="4"/>
      <c r="C163" s="4"/>
      <c r="D163" s="4"/>
      <c r="E163" s="4"/>
      <c r="F163" s="4"/>
      <c r="G163" s="4"/>
    </row>
    <row r="164" spans="1:7" x14ac:dyDescent="0.25">
      <c r="A164" s="4"/>
      <c r="B164" s="4"/>
      <c r="C164" s="4"/>
      <c r="D164" s="4"/>
      <c r="E164" s="4"/>
      <c r="F164" s="4"/>
      <c r="G164" s="4"/>
    </row>
    <row r="165" spans="1:7" x14ac:dyDescent="0.25">
      <c r="A165" s="4"/>
      <c r="B165" s="4"/>
      <c r="C165" s="4"/>
      <c r="D165" s="4"/>
      <c r="E165" s="4"/>
      <c r="F165" s="4"/>
      <c r="G165" s="4"/>
    </row>
    <row r="166" spans="1:7" x14ac:dyDescent="0.25">
      <c r="A166" s="4"/>
      <c r="B166" s="4"/>
      <c r="C166" s="4"/>
      <c r="D166" s="4"/>
      <c r="E166" s="4"/>
      <c r="F166" s="4"/>
      <c r="G166" s="4"/>
    </row>
    <row r="167" spans="1:7" x14ac:dyDescent="0.25">
      <c r="A167" s="4"/>
      <c r="B167" s="4"/>
      <c r="C167" s="4"/>
      <c r="D167" s="4"/>
      <c r="E167" s="4"/>
      <c r="F167" s="4"/>
      <c r="G167" s="4"/>
    </row>
    <row r="168" spans="1:7" x14ac:dyDescent="0.25">
      <c r="A168" s="4"/>
      <c r="B168" s="4"/>
      <c r="C168" s="4"/>
      <c r="D168" s="4"/>
      <c r="E168" s="4"/>
      <c r="F168" s="4"/>
      <c r="G168" s="4"/>
    </row>
    <row r="169" spans="1:7" x14ac:dyDescent="0.25">
      <c r="A169" s="4"/>
      <c r="B169" s="4"/>
      <c r="C169" s="4"/>
      <c r="D169" s="4"/>
      <c r="E169" s="4"/>
      <c r="F169" s="4"/>
      <c r="G169" s="4"/>
    </row>
    <row r="170" spans="1:7" x14ac:dyDescent="0.25">
      <c r="A170" s="4"/>
      <c r="B170" s="4"/>
      <c r="C170" s="4"/>
      <c r="D170" s="4"/>
      <c r="E170" s="4"/>
      <c r="F170" s="4"/>
      <c r="G170" s="4"/>
    </row>
    <row r="171" spans="1:7" x14ac:dyDescent="0.25">
      <c r="A171" s="4"/>
      <c r="B171" s="4"/>
      <c r="C171" s="4"/>
      <c r="D171" s="4"/>
      <c r="E171" s="4"/>
      <c r="F171" s="4"/>
      <c r="G171" s="4"/>
    </row>
    <row r="172" spans="1:7" x14ac:dyDescent="0.25">
      <c r="A172" s="4"/>
      <c r="B172" s="4"/>
      <c r="C172" s="4"/>
      <c r="D172" s="4"/>
      <c r="E172" s="4"/>
      <c r="F172" s="4"/>
      <c r="G172" s="4"/>
    </row>
    <row r="173" spans="1:7" x14ac:dyDescent="0.25">
      <c r="A173" s="4"/>
      <c r="B173" s="4"/>
      <c r="C173" s="4"/>
      <c r="D173" s="4"/>
      <c r="E173" s="4"/>
      <c r="F173" s="4"/>
      <c r="G173" s="4"/>
    </row>
    <row r="174" spans="1:7" x14ac:dyDescent="0.25">
      <c r="A174" s="4"/>
      <c r="B174" s="4"/>
      <c r="C174" s="4"/>
      <c r="D174" s="4"/>
      <c r="E174" s="4"/>
      <c r="F174" s="4"/>
      <c r="G174" s="4"/>
    </row>
    <row r="175" spans="1:7" x14ac:dyDescent="0.25">
      <c r="A175" s="4"/>
      <c r="B175" s="4"/>
      <c r="C175" s="4"/>
      <c r="D175" s="4"/>
      <c r="E175" s="4"/>
      <c r="F175" s="4"/>
      <c r="G175" s="4"/>
    </row>
    <row r="176" spans="1:7" x14ac:dyDescent="0.25">
      <c r="A176" s="4"/>
      <c r="B176" s="4"/>
      <c r="C176" s="4"/>
      <c r="D176" s="4"/>
      <c r="E176" s="4"/>
      <c r="F176" s="4"/>
      <c r="G176" s="4"/>
    </row>
    <row r="177" spans="1:7" x14ac:dyDescent="0.25">
      <c r="A177" s="4"/>
      <c r="B177" s="4"/>
      <c r="C177" s="4"/>
      <c r="D177" s="4"/>
      <c r="E177" s="4"/>
      <c r="F177" s="4"/>
      <c r="G177" s="4"/>
    </row>
    <row r="178" spans="1:7" x14ac:dyDescent="0.25">
      <c r="A178" s="4"/>
      <c r="B178" s="4"/>
      <c r="C178" s="4"/>
      <c r="D178" s="4"/>
      <c r="E178" s="4"/>
      <c r="F178" s="4"/>
      <c r="G178" s="4"/>
    </row>
    <row r="179" spans="1:7" x14ac:dyDescent="0.25">
      <c r="A179" s="4"/>
      <c r="B179" s="4"/>
      <c r="C179" s="4"/>
      <c r="D179" s="4"/>
      <c r="E179" s="4"/>
      <c r="F179" s="4"/>
      <c r="G179" s="4"/>
    </row>
    <row r="180" spans="1:7" x14ac:dyDescent="0.25">
      <c r="A180" s="4"/>
      <c r="B180" s="4"/>
      <c r="C180" s="4"/>
      <c r="D180" s="4"/>
      <c r="E180" s="4"/>
      <c r="F180" s="4"/>
      <c r="G180" s="4"/>
    </row>
    <row r="181" spans="1:7" x14ac:dyDescent="0.25">
      <c r="A181" s="4"/>
      <c r="B181" s="4"/>
      <c r="C181" s="4"/>
      <c r="D181" s="4"/>
      <c r="E181" s="4"/>
      <c r="F181" s="4"/>
      <c r="G181" s="4"/>
    </row>
    <row r="182" spans="1:7" x14ac:dyDescent="0.25">
      <c r="A182" s="4"/>
      <c r="B182" s="4"/>
      <c r="C182" s="4"/>
      <c r="D182" s="4"/>
      <c r="E182" s="4"/>
      <c r="F182" s="4"/>
      <c r="G182" s="4"/>
    </row>
    <row r="183" spans="1:7" x14ac:dyDescent="0.25">
      <c r="A183" s="4"/>
      <c r="B183" s="4"/>
      <c r="C183" s="4"/>
      <c r="D183" s="4"/>
      <c r="E183" s="4"/>
      <c r="F183" s="4"/>
      <c r="G183" s="4"/>
    </row>
    <row r="184" spans="1:7" x14ac:dyDescent="0.25">
      <c r="A184" s="4"/>
      <c r="B184" s="4"/>
      <c r="C184" s="4"/>
      <c r="D184" s="4"/>
      <c r="E184" s="4"/>
      <c r="F184" s="4"/>
      <c r="G184" s="4"/>
    </row>
    <row r="185" spans="1:7" x14ac:dyDescent="0.25">
      <c r="A185" s="4"/>
      <c r="B185" s="4"/>
      <c r="C185" s="4"/>
      <c r="D185" s="4"/>
      <c r="E185" s="4"/>
      <c r="F185" s="4"/>
      <c r="G185" s="4"/>
    </row>
    <row r="186" spans="1:7" x14ac:dyDescent="0.25">
      <c r="A186" s="4"/>
      <c r="B186" s="4"/>
      <c r="C186" s="4"/>
      <c r="D186" s="4"/>
      <c r="E186" s="4"/>
      <c r="F186" s="4"/>
      <c r="G186" s="4"/>
    </row>
  </sheetData>
  <mergeCells count="12">
    <mergeCell ref="B38:G38"/>
    <mergeCell ref="B68:G68"/>
    <mergeCell ref="B98:G98"/>
    <mergeCell ref="F1:G1"/>
    <mergeCell ref="A37:B37"/>
    <mergeCell ref="A67:B67"/>
    <mergeCell ref="A97:B97"/>
    <mergeCell ref="A2:G2"/>
    <mergeCell ref="A4:G4"/>
    <mergeCell ref="A3:G3"/>
    <mergeCell ref="B8:G8"/>
    <mergeCell ref="F5:G5"/>
  </mergeCells>
  <pageMargins left="0.5" right="0.5" top="0.5" bottom="0.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O&amp;M -KHEP</vt:lpstr>
      <vt:lpstr>O&amp;M - DHEP</vt:lpstr>
      <vt:lpstr>O&amp;M - RHEP</vt:lpstr>
      <vt:lpstr>O&amp;M - AGBPP</vt:lpstr>
      <vt:lpstr>O&amp;M - AGTPP</vt:lpstr>
      <vt:lpstr>O&amp;M - TGBPP</vt:lpstr>
      <vt:lpstr>O&amp;M - Solar</vt:lpstr>
      <vt:lpstr>O&amp;M - corp off exp</vt:lpstr>
      <vt:lpstr>Cap Spares - AGTP</vt:lpstr>
      <vt:lpstr>Cap Spares - AGBP</vt:lpstr>
      <vt:lpstr>Cap Spares - TGBP</vt:lpstr>
      <vt:lpstr>Reconciliation</vt:lpstr>
      <vt:lpstr>'O&amp;M - Solar'!Print_Area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2018-02-01T09:54:55Z</dcterms:modified>
</cp:coreProperties>
</file>